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bs1525\Desktop\DMS Posts\Copy of Multi-zone Design Quick Select CBP V1.2\"/>
    </mc:Choice>
  </mc:AlternateContent>
  <workbookProtection workbookAlgorithmName="SHA-512" workbookHashValue="XcCrhHaCc1RyZAFvx+Ux/KBrRcNyixe9T5MfL9rUe17Q7BGzr8wb6lN34y++j9bRk4tOQ+PuVHNzxzpA+rSZXQ==" workbookSaltValue="4eLO+brqsmnFof/HOpbkhw==" workbookSpinCount="100000" lockStructure="1"/>
  <bookViews>
    <workbookView xWindow="-120" yWindow="-120" windowWidth="29040" windowHeight="17640" tabRatio="732"/>
  </bookViews>
  <sheets>
    <sheet name="Multizone Sizing Tool" sheetId="14" r:id="rId1"/>
    <sheet name="Multi-zone Combinations" sheetId="18" r:id="rId2"/>
    <sheet name="Revision" sheetId="17" r:id="rId3"/>
    <sheet name="Calculations" sheetId="16" state="hidden" r:id="rId4"/>
    <sheet name="Defrost Correction" sheetId="19" state="hidden" r:id="rId5"/>
    <sheet name="Non-Ducted" sheetId="3" state="hidden" r:id="rId6"/>
    <sheet name="Mixed Ducted and Non-Ducted" sheetId="4" state="hidden" r:id="rId7"/>
    <sheet name="Ducted" sheetId="5" state="hidden" r:id="rId8"/>
    <sheet name="Cap based on indoor unit SZ" sheetId="13" state="hidden" r:id="rId9"/>
    <sheet name="Altitude Correction" sheetId="11" state="hidden" r:id="rId10"/>
    <sheet name="Piping Correction" sheetId="9" state="hidden" r:id="rId11"/>
  </sheets>
  <externalReferences>
    <externalReference r:id="rId12"/>
    <externalReference r:id="rId13"/>
  </externalReferences>
  <definedNames>
    <definedName name="Cool_Design_T" localSheetId="4">'[1]Multizone Sizing Tool'!$F$16</definedName>
    <definedName name="Cool_Design_T">'Multizone Sizing Tool'!$F$16</definedName>
    <definedName name="Heat_Design_T" localSheetId="4">'[1]Multizone Sizing Tool'!$F$17</definedName>
    <definedName name="Heat_Design_T">'Multizone Sizing Tool'!$F$17</definedName>
    <definedName name="INDOOR_1" localSheetId="4">'[1]Non-Ducted'!$AE$4:$AE$148</definedName>
    <definedName name="INDOOR_1">'Non-Ducted'!$AE$4:$AE$148</definedName>
    <definedName name="INDOOR_2" localSheetId="4">'[1]Non-Ducted'!$AF$4:$AF$148</definedName>
    <definedName name="INDOOR_2">'Non-Ducted'!$AF$4:$AF$148</definedName>
    <definedName name="INDOOR_3" localSheetId="4">'[1]Non-Ducted'!$AG$4:$AG$148</definedName>
    <definedName name="INDOOR_3">'Non-Ducted'!$AG$4:$AG$148</definedName>
    <definedName name="INDOOR_4" localSheetId="4">'[1]Non-Ducted'!$AH$4:$AH$148</definedName>
    <definedName name="INDOOR_4">'Non-Ducted'!$AH$4:$AH$148</definedName>
    <definedName name="INDOOR_5" localSheetId="4">'[1]Non-Ducted'!$AI$4:$AI$148</definedName>
    <definedName name="INDOOR_5">'Non-Ducted'!$AI$4:$AI$148</definedName>
    <definedName name="INDOOR_DB" localSheetId="4">'[1]Multizone Sizing Tool'!$F$23</definedName>
    <definedName name="INDOOR_DB">'Multizone Sizing Tool'!$F$23</definedName>
    <definedName name="INDOOR_HEAT_DB" localSheetId="4">'[1]Multizone Sizing Tool'!$F$24</definedName>
    <definedName name="INDOOR_HEAT_DB">'Multizone Sizing Tool'!$F$24</definedName>
    <definedName name="IndoorStart" localSheetId="4">[1]Calculations!$Q$13</definedName>
    <definedName name="IndoorStart">Calculations!$Q$13</definedName>
    <definedName name="IndoorType" localSheetId="4">[1]Calculations!$Q$13:$Q$35</definedName>
    <definedName name="IndoorType">Calculations!$Q$13:$Q$47</definedName>
    <definedName name="IndoorTypeList" localSheetId="4">[1]Calculations!$O$16:$O$20</definedName>
    <definedName name="IndoorTypeList">Calculations!$O$16:$O$20</definedName>
    <definedName name="KnownX">'Non-Ducted'!$F$26:$Q$26</definedName>
    <definedName name="KnownY">'Non-Ducted'!$F$27:$Q$27</definedName>
    <definedName name="ModelNumber">Calculations!$R$13:$R$47</definedName>
    <definedName name="Outdoor_Unit_Size" localSheetId="4">'[1]Multizone Sizing Tool'!$F$6</definedName>
    <definedName name="Outdoor_Unit_Size">'Multizone Sizing Tool'!$F$6</definedName>
    <definedName name="_xlnm.Print_Area" localSheetId="3">Calculations!$A$1:$AF$90</definedName>
    <definedName name="_xlnm.Print_Area" localSheetId="0">'Multizone Sizing Tool'!$B$3:$Q$74</definedName>
    <definedName name="Q_11">#REF!</definedName>
    <definedName name="Q_12">#REF!</definedName>
    <definedName name="Q_21">#REF!</definedName>
    <definedName name="Q_22">#REF!</definedName>
    <definedName name="Size">#REF!</definedName>
    <definedName name="SizeValues">#REF!</definedName>
    <definedName name="x">#REF!</definedName>
    <definedName name="x_1">#REF!</definedName>
    <definedName name="X_2">#REF!</definedName>
    <definedName name="xvalues">#REF!</definedName>
    <definedName name="y">#REF!</definedName>
    <definedName name="y_1">#REF!</definedName>
    <definedName name="y_2">#REF!</definedName>
    <definedName name="yvalues">#REF!</definedName>
    <definedName name="zvalue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6" i="19" l="1"/>
  <c r="D57" i="19" s="1"/>
  <c r="D58" i="19" s="1"/>
  <c r="D53" i="19"/>
  <c r="D54" i="19" s="1"/>
  <c r="D49" i="19"/>
  <c r="D50" i="19" s="1"/>
  <c r="D51" i="19" s="1"/>
  <c r="D45" i="19"/>
  <c r="D46" i="19" s="1"/>
  <c r="D47" i="19" s="1"/>
  <c r="D42" i="19"/>
  <c r="D43" i="19" s="1"/>
  <c r="D38" i="19"/>
  <c r="D39" i="19" s="1"/>
  <c r="D40" i="19" s="1"/>
  <c r="A44" i="18" l="1"/>
  <c r="A26" i="18"/>
  <c r="A14" i="18"/>
  <c r="A8" i="18"/>
  <c r="A5" i="18"/>
  <c r="D43" i="14" l="1"/>
  <c r="N29" i="14" l="1"/>
  <c r="N30" i="14"/>
  <c r="C11" i="16" l="1"/>
  <c r="C3" i="16"/>
  <c r="S10" i="16"/>
  <c r="AW148" i="5"/>
  <c r="AW147" i="5"/>
  <c r="AW146" i="5"/>
  <c r="AW145" i="5"/>
  <c r="AW144" i="5"/>
  <c r="AW143" i="5"/>
  <c r="AW142" i="5"/>
  <c r="AW141" i="5"/>
  <c r="AW140" i="5"/>
  <c r="AW139" i="5"/>
  <c r="AW138" i="5"/>
  <c r="AW137" i="5"/>
  <c r="AW136" i="5"/>
  <c r="AW135" i="5"/>
  <c r="AW134" i="5"/>
  <c r="AW133" i="5"/>
  <c r="AW132" i="5"/>
  <c r="AW131" i="5"/>
  <c r="AW130" i="5"/>
  <c r="AW129" i="5"/>
  <c r="AW128" i="5"/>
  <c r="AW127" i="5"/>
  <c r="AW126" i="5"/>
  <c r="AW125" i="5"/>
  <c r="AW124" i="5"/>
  <c r="AW123" i="5"/>
  <c r="AW122" i="5"/>
  <c r="AW121" i="5"/>
  <c r="AW120" i="5"/>
  <c r="AW119" i="5"/>
  <c r="AW118" i="5"/>
  <c r="AW117" i="5"/>
  <c r="AW116" i="5"/>
  <c r="AW115" i="5"/>
  <c r="AW114" i="5"/>
  <c r="AW113" i="5"/>
  <c r="AW112" i="5"/>
  <c r="AW111" i="5"/>
  <c r="AW110" i="5"/>
  <c r="AW109" i="5"/>
  <c r="AW108" i="5"/>
  <c r="AW107" i="5"/>
  <c r="AW106" i="5"/>
  <c r="AW105" i="5"/>
  <c r="AW104" i="5"/>
  <c r="AW103" i="5"/>
  <c r="AW102" i="5"/>
  <c r="AW101" i="5"/>
  <c r="AW100" i="5"/>
  <c r="AW99" i="5"/>
  <c r="AW98" i="5"/>
  <c r="AW97" i="5"/>
  <c r="AW96" i="5"/>
  <c r="AW95" i="5"/>
  <c r="AW94" i="5"/>
  <c r="AW93" i="5"/>
  <c r="AW91" i="5"/>
  <c r="AW90" i="5"/>
  <c r="AW89" i="5"/>
  <c r="AW88" i="5"/>
  <c r="AW87" i="5"/>
  <c r="AW86" i="5"/>
  <c r="AW85" i="5"/>
  <c r="AW84" i="5"/>
  <c r="AW83" i="5"/>
  <c r="AW82" i="5"/>
  <c r="AW81" i="5"/>
  <c r="AW80" i="5"/>
  <c r="AW79" i="5"/>
  <c r="AW78" i="5"/>
  <c r="AW77" i="5"/>
  <c r="AW76" i="5"/>
  <c r="AW75" i="5"/>
  <c r="AW74" i="5"/>
  <c r="AW73" i="5"/>
  <c r="AW72" i="5"/>
  <c r="AW71" i="5"/>
  <c r="AW70" i="5"/>
  <c r="AW69" i="5"/>
  <c r="AW68" i="5"/>
  <c r="AW67" i="5"/>
  <c r="AW66" i="5"/>
  <c r="AW65" i="5"/>
  <c r="AW64" i="5"/>
  <c r="AW63" i="5"/>
  <c r="AW62" i="5"/>
  <c r="AW61" i="5"/>
  <c r="AW60" i="5"/>
  <c r="AW59" i="5"/>
  <c r="AW58" i="5"/>
  <c r="AW57" i="5"/>
  <c r="AW56" i="5"/>
  <c r="AW55" i="5"/>
  <c r="AW54" i="5"/>
  <c r="AW53" i="5"/>
  <c r="AW52" i="5"/>
  <c r="AW51" i="5"/>
  <c r="AW50" i="5"/>
  <c r="AW49" i="5"/>
  <c r="AW48" i="5"/>
  <c r="AW46" i="5"/>
  <c r="AW45" i="5"/>
  <c r="AW44" i="5"/>
  <c r="AW43" i="5"/>
  <c r="AW42" i="5"/>
  <c r="AW41" i="5"/>
  <c r="AW40" i="5"/>
  <c r="AW39" i="5"/>
  <c r="AW38" i="5"/>
  <c r="AW37" i="5"/>
  <c r="AW36" i="5"/>
  <c r="AW35" i="5"/>
  <c r="AW34" i="5"/>
  <c r="AW33" i="5"/>
  <c r="AW32" i="5"/>
  <c r="AW31" i="5"/>
  <c r="AW30" i="5"/>
  <c r="AW29" i="5"/>
  <c r="AW28" i="5"/>
  <c r="AW27" i="5"/>
  <c r="AW26" i="5"/>
  <c r="AW25" i="5"/>
  <c r="AW24" i="5"/>
  <c r="AW23" i="5"/>
  <c r="AW22" i="5"/>
  <c r="AW21" i="5"/>
  <c r="AW20" i="5"/>
  <c r="AW18" i="5"/>
  <c r="AW17" i="5"/>
  <c r="AW16" i="5"/>
  <c r="AW15" i="5"/>
  <c r="AW14" i="5"/>
  <c r="AW13" i="5"/>
  <c r="AW12" i="5"/>
  <c r="AW11" i="5"/>
  <c r="AW10" i="5"/>
  <c r="AW9" i="5"/>
  <c r="AW8" i="5"/>
  <c r="AW6" i="5"/>
  <c r="AW5" i="5"/>
  <c r="AW4" i="5"/>
  <c r="AW148" i="4"/>
  <c r="AW147" i="4"/>
  <c r="AW146" i="4"/>
  <c r="AW145" i="4"/>
  <c r="AW144" i="4"/>
  <c r="AW143" i="4"/>
  <c r="AW142" i="4"/>
  <c r="AW141" i="4"/>
  <c r="AW140" i="4"/>
  <c r="AW139" i="4"/>
  <c r="AW138" i="4"/>
  <c r="AW137" i="4"/>
  <c r="AW136" i="4"/>
  <c r="AW135" i="4"/>
  <c r="AW134" i="4"/>
  <c r="AW133" i="4"/>
  <c r="AW132" i="4"/>
  <c r="AW131" i="4"/>
  <c r="AW130" i="4"/>
  <c r="AW129" i="4"/>
  <c r="AW128" i="4"/>
  <c r="AW127" i="4"/>
  <c r="AW126" i="4"/>
  <c r="AW125" i="4"/>
  <c r="AW124" i="4"/>
  <c r="AW123" i="4"/>
  <c r="AW122" i="4"/>
  <c r="AW121" i="4"/>
  <c r="AW120" i="4"/>
  <c r="AW119" i="4"/>
  <c r="AW118" i="4"/>
  <c r="AW117" i="4"/>
  <c r="AW116" i="4"/>
  <c r="AW115" i="4"/>
  <c r="AW114" i="4"/>
  <c r="AW113" i="4"/>
  <c r="AW112" i="4"/>
  <c r="AW111" i="4"/>
  <c r="AW110" i="4"/>
  <c r="AW109" i="4"/>
  <c r="AW108" i="4"/>
  <c r="AW107" i="4"/>
  <c r="AW106" i="4"/>
  <c r="AW105" i="4"/>
  <c r="AW104" i="4"/>
  <c r="AW103" i="4"/>
  <c r="AW102" i="4"/>
  <c r="AW101" i="4"/>
  <c r="AW100" i="4"/>
  <c r="AW99" i="4"/>
  <c r="AW98" i="4"/>
  <c r="AW97" i="4"/>
  <c r="AW96" i="4"/>
  <c r="AW95" i="4"/>
  <c r="AW94" i="4"/>
  <c r="AW93" i="4"/>
  <c r="AW91" i="4"/>
  <c r="AW90" i="4"/>
  <c r="AW89" i="4"/>
  <c r="AW88" i="4"/>
  <c r="AW87" i="4"/>
  <c r="AW86" i="4"/>
  <c r="AW85" i="4"/>
  <c r="AW84" i="4"/>
  <c r="AW83" i="4"/>
  <c r="AW82" i="4"/>
  <c r="AW81" i="4"/>
  <c r="AW80" i="4"/>
  <c r="AW79" i="4"/>
  <c r="AW78" i="4"/>
  <c r="AW77" i="4"/>
  <c r="AW76" i="4"/>
  <c r="AW75" i="4"/>
  <c r="AW74" i="4"/>
  <c r="AW73" i="4"/>
  <c r="AW72" i="4"/>
  <c r="AW71" i="4"/>
  <c r="AW70" i="4"/>
  <c r="AW69" i="4"/>
  <c r="AW68" i="4"/>
  <c r="AW67" i="4"/>
  <c r="AW66" i="4"/>
  <c r="AW65" i="4"/>
  <c r="AW64" i="4"/>
  <c r="AW63" i="4"/>
  <c r="AW62" i="4"/>
  <c r="AW61" i="4"/>
  <c r="AW60" i="4"/>
  <c r="AW59" i="4"/>
  <c r="AW58" i="4"/>
  <c r="AW57" i="4"/>
  <c r="AW56" i="4"/>
  <c r="AW55" i="4"/>
  <c r="AW54" i="4"/>
  <c r="AW53" i="4"/>
  <c r="AW52" i="4"/>
  <c r="AW51" i="4"/>
  <c r="AW50" i="4"/>
  <c r="AW49" i="4"/>
  <c r="AW48" i="4"/>
  <c r="AW46" i="4"/>
  <c r="AW45" i="4"/>
  <c r="AW44" i="4"/>
  <c r="AW43" i="4"/>
  <c r="AW42" i="4"/>
  <c r="AW41" i="4"/>
  <c r="AW40" i="4"/>
  <c r="AW39" i="4"/>
  <c r="AW38" i="4"/>
  <c r="AW37" i="4"/>
  <c r="AW36" i="4"/>
  <c r="AW35" i="4"/>
  <c r="AW34" i="4"/>
  <c r="AW33" i="4"/>
  <c r="AW32" i="4"/>
  <c r="AW31" i="4"/>
  <c r="AW30" i="4"/>
  <c r="AW29" i="4"/>
  <c r="AW28" i="4"/>
  <c r="AW27" i="4"/>
  <c r="AW26" i="4"/>
  <c r="AW25" i="4"/>
  <c r="AW24" i="4"/>
  <c r="AW23" i="4"/>
  <c r="AW22" i="4"/>
  <c r="AW21" i="4"/>
  <c r="AW20" i="4"/>
  <c r="AW18" i="4"/>
  <c r="AW17" i="4"/>
  <c r="AW16" i="4"/>
  <c r="AW15" i="4"/>
  <c r="AW14" i="4"/>
  <c r="AW13" i="4"/>
  <c r="AW12" i="4"/>
  <c r="AW11" i="4"/>
  <c r="AW10" i="4"/>
  <c r="AW9" i="4"/>
  <c r="AW8" i="4"/>
  <c r="AW6" i="4"/>
  <c r="AW5" i="4"/>
  <c r="AW4" i="4"/>
  <c r="AA7" i="5" l="1"/>
  <c r="AA7" i="4"/>
  <c r="R137" i="5"/>
  <c r="R136" i="5"/>
  <c r="R135" i="5"/>
  <c r="W134" i="5"/>
  <c r="R134" i="5"/>
  <c r="R133" i="5"/>
  <c r="R132" i="5"/>
  <c r="R131" i="5"/>
  <c r="W130" i="5"/>
  <c r="R130" i="5"/>
  <c r="R129" i="5"/>
  <c r="R128" i="5"/>
  <c r="R127" i="5"/>
  <c r="W126" i="5"/>
  <c r="R126" i="5"/>
  <c r="R125" i="5"/>
  <c r="R124" i="5"/>
  <c r="R123" i="5"/>
  <c r="W122" i="5"/>
  <c r="R122" i="5"/>
  <c r="R121" i="5"/>
  <c r="R120" i="5"/>
  <c r="R119" i="5"/>
  <c r="W118" i="5"/>
  <c r="R118" i="5"/>
  <c r="R137" i="4"/>
  <c r="R136" i="4"/>
  <c r="R135" i="4"/>
  <c r="W134" i="4"/>
  <c r="R134" i="4"/>
  <c r="R133" i="4"/>
  <c r="R132" i="4"/>
  <c r="R131" i="4"/>
  <c r="W130" i="4"/>
  <c r="R130" i="4"/>
  <c r="R129" i="4"/>
  <c r="R128" i="4"/>
  <c r="R127" i="4"/>
  <c r="W126" i="4"/>
  <c r="R126" i="4"/>
  <c r="R125" i="4"/>
  <c r="R124" i="4"/>
  <c r="R123" i="4"/>
  <c r="W122" i="4"/>
  <c r="R122" i="4"/>
  <c r="R121" i="4"/>
  <c r="R120" i="4"/>
  <c r="R119" i="4"/>
  <c r="W118" i="4"/>
  <c r="R118" i="4"/>
  <c r="R86" i="5"/>
  <c r="Q86" i="5"/>
  <c r="P86" i="5"/>
  <c r="O86" i="5"/>
  <c r="N86" i="5"/>
  <c r="M86" i="5"/>
  <c r="L86" i="5"/>
  <c r="K86" i="5"/>
  <c r="J86" i="5"/>
  <c r="I86" i="5"/>
  <c r="H86" i="5"/>
  <c r="G86" i="5"/>
  <c r="F86" i="5"/>
  <c r="Q85" i="5"/>
  <c r="P85" i="5"/>
  <c r="O85" i="5"/>
  <c r="N85" i="5"/>
  <c r="M85" i="5"/>
  <c r="L85" i="5"/>
  <c r="R85" i="5" s="1"/>
  <c r="K85" i="5"/>
  <c r="J85" i="5"/>
  <c r="I85" i="5"/>
  <c r="H85" i="5"/>
  <c r="G85" i="5"/>
  <c r="F85" i="5"/>
  <c r="Q84" i="5"/>
  <c r="P84" i="5"/>
  <c r="O84" i="5"/>
  <c r="N84" i="5"/>
  <c r="M84" i="5"/>
  <c r="L84" i="5"/>
  <c r="R84" i="5" s="1"/>
  <c r="K84" i="5"/>
  <c r="J84" i="5"/>
  <c r="I84" i="5"/>
  <c r="H84" i="5"/>
  <c r="G84" i="5"/>
  <c r="F84" i="5"/>
  <c r="W83" i="5"/>
  <c r="Q83" i="5"/>
  <c r="P83" i="5"/>
  <c r="O83" i="5"/>
  <c r="N83" i="5"/>
  <c r="M83" i="5"/>
  <c r="L83" i="5"/>
  <c r="R83" i="5" s="1"/>
  <c r="K83" i="5"/>
  <c r="J83" i="5"/>
  <c r="I83" i="5"/>
  <c r="H83" i="5"/>
  <c r="G83" i="5"/>
  <c r="F83" i="5"/>
  <c r="R82" i="5"/>
  <c r="Q82" i="5"/>
  <c r="P82" i="5"/>
  <c r="O82" i="5"/>
  <c r="N82" i="5"/>
  <c r="M82" i="5"/>
  <c r="L82" i="5"/>
  <c r="K82" i="5"/>
  <c r="J82" i="5"/>
  <c r="I82" i="5"/>
  <c r="H82" i="5"/>
  <c r="G82" i="5"/>
  <c r="F82" i="5"/>
  <c r="Q81" i="5"/>
  <c r="P81" i="5"/>
  <c r="O81" i="5"/>
  <c r="N81" i="5"/>
  <c r="M81" i="5"/>
  <c r="L81" i="5"/>
  <c r="R81" i="5" s="1"/>
  <c r="K81" i="5"/>
  <c r="J81" i="5"/>
  <c r="I81" i="5"/>
  <c r="H81" i="5"/>
  <c r="G81" i="5"/>
  <c r="F81" i="5"/>
  <c r="Q80" i="5"/>
  <c r="P80" i="5"/>
  <c r="O80" i="5"/>
  <c r="N80" i="5"/>
  <c r="M80" i="5"/>
  <c r="L80" i="5"/>
  <c r="R80" i="5" s="1"/>
  <c r="K80" i="5"/>
  <c r="J80" i="5"/>
  <c r="I80" i="5"/>
  <c r="H80" i="5"/>
  <c r="G80" i="5"/>
  <c r="F80" i="5"/>
  <c r="W79" i="5"/>
  <c r="Q79" i="5"/>
  <c r="P79" i="5"/>
  <c r="O79" i="5"/>
  <c r="N79" i="5"/>
  <c r="M79" i="5"/>
  <c r="L79" i="5"/>
  <c r="R79" i="5" s="1"/>
  <c r="K79" i="5"/>
  <c r="J79" i="5"/>
  <c r="I79" i="5"/>
  <c r="H79" i="5"/>
  <c r="G79" i="5"/>
  <c r="F79" i="5"/>
  <c r="R78" i="5"/>
  <c r="Q78" i="5"/>
  <c r="P78" i="5"/>
  <c r="O78" i="5"/>
  <c r="N78" i="5"/>
  <c r="M78" i="5"/>
  <c r="L78" i="5"/>
  <c r="K78" i="5"/>
  <c r="J78" i="5"/>
  <c r="I78" i="5"/>
  <c r="H78" i="5"/>
  <c r="G78" i="5"/>
  <c r="F78" i="5"/>
  <c r="Q77" i="5"/>
  <c r="P77" i="5"/>
  <c r="O77" i="5"/>
  <c r="N77" i="5"/>
  <c r="M77" i="5"/>
  <c r="L77" i="5"/>
  <c r="R77" i="5" s="1"/>
  <c r="K77" i="5"/>
  <c r="J77" i="5"/>
  <c r="I77" i="5"/>
  <c r="H77" i="5"/>
  <c r="G77" i="5"/>
  <c r="F77" i="5"/>
  <c r="Q76" i="5"/>
  <c r="P76" i="5"/>
  <c r="O76" i="5"/>
  <c r="N76" i="5"/>
  <c r="M76" i="5"/>
  <c r="L76" i="5"/>
  <c r="R76" i="5" s="1"/>
  <c r="K76" i="5"/>
  <c r="J76" i="5"/>
  <c r="I76" i="5"/>
  <c r="H76" i="5"/>
  <c r="G76" i="5"/>
  <c r="F76" i="5"/>
  <c r="W75" i="5"/>
  <c r="Q75" i="5"/>
  <c r="P75" i="5"/>
  <c r="O75" i="5"/>
  <c r="N75" i="5"/>
  <c r="M75" i="5"/>
  <c r="L75" i="5"/>
  <c r="R75" i="5" s="1"/>
  <c r="K75" i="5"/>
  <c r="J75" i="5"/>
  <c r="I75" i="5"/>
  <c r="H75" i="5"/>
  <c r="G75" i="5"/>
  <c r="F75" i="5"/>
  <c r="R74" i="5"/>
  <c r="Q74" i="5"/>
  <c r="P74" i="5"/>
  <c r="O74" i="5"/>
  <c r="N74" i="5"/>
  <c r="M74" i="5"/>
  <c r="L74" i="5"/>
  <c r="K74" i="5"/>
  <c r="J74" i="5"/>
  <c r="I74" i="5"/>
  <c r="H74" i="5"/>
  <c r="G74" i="5"/>
  <c r="F74" i="5"/>
  <c r="Q73" i="5"/>
  <c r="P73" i="5"/>
  <c r="O73" i="5"/>
  <c r="N73" i="5"/>
  <c r="M73" i="5"/>
  <c r="L73" i="5"/>
  <c r="R73" i="5" s="1"/>
  <c r="K73" i="5"/>
  <c r="J73" i="5"/>
  <c r="I73" i="5"/>
  <c r="H73" i="5"/>
  <c r="G73" i="5"/>
  <c r="F73" i="5"/>
  <c r="Q72" i="5"/>
  <c r="P72" i="5"/>
  <c r="O72" i="5"/>
  <c r="N72" i="5"/>
  <c r="M72" i="5"/>
  <c r="L72" i="5"/>
  <c r="R72" i="5" s="1"/>
  <c r="K72" i="5"/>
  <c r="J72" i="5"/>
  <c r="I72" i="5"/>
  <c r="H72" i="5"/>
  <c r="G72" i="5"/>
  <c r="F72" i="5"/>
  <c r="W71" i="5"/>
  <c r="Q71" i="5"/>
  <c r="P71" i="5"/>
  <c r="O71" i="5"/>
  <c r="N71" i="5"/>
  <c r="M71" i="5"/>
  <c r="L71" i="5"/>
  <c r="R71" i="5" s="1"/>
  <c r="K71" i="5"/>
  <c r="J71" i="5"/>
  <c r="I71" i="5"/>
  <c r="H71" i="5"/>
  <c r="G71" i="5"/>
  <c r="F71" i="5"/>
  <c r="R70" i="5"/>
  <c r="Q70" i="5"/>
  <c r="P70" i="5"/>
  <c r="O70" i="5"/>
  <c r="N70" i="5"/>
  <c r="M70" i="5"/>
  <c r="L70" i="5"/>
  <c r="K70" i="5"/>
  <c r="J70" i="5"/>
  <c r="I70" i="5"/>
  <c r="H70" i="5"/>
  <c r="G70" i="5"/>
  <c r="F70" i="5"/>
  <c r="Q69" i="5"/>
  <c r="P69" i="5"/>
  <c r="O69" i="5"/>
  <c r="N69" i="5"/>
  <c r="M69" i="5"/>
  <c r="L69" i="5"/>
  <c r="R69" i="5" s="1"/>
  <c r="K69" i="5"/>
  <c r="J69" i="5"/>
  <c r="I69" i="5"/>
  <c r="H69" i="5"/>
  <c r="G69" i="5"/>
  <c r="F69" i="5"/>
  <c r="Q68" i="5"/>
  <c r="P68" i="5"/>
  <c r="O68" i="5"/>
  <c r="N68" i="5"/>
  <c r="M68" i="5"/>
  <c r="L68" i="5"/>
  <c r="R68" i="5" s="1"/>
  <c r="K68" i="5"/>
  <c r="J68" i="5"/>
  <c r="I68" i="5"/>
  <c r="H68" i="5"/>
  <c r="G68" i="5"/>
  <c r="F68" i="5"/>
  <c r="W67" i="5"/>
  <c r="Q67" i="5"/>
  <c r="P67" i="5"/>
  <c r="O67" i="5"/>
  <c r="N67" i="5"/>
  <c r="M67" i="5"/>
  <c r="L67" i="5"/>
  <c r="R67" i="5" s="1"/>
  <c r="K67" i="5"/>
  <c r="J67" i="5"/>
  <c r="I67" i="5"/>
  <c r="H67" i="5"/>
  <c r="G67" i="5"/>
  <c r="F67" i="5"/>
  <c r="W83" i="4"/>
  <c r="W79" i="4"/>
  <c r="W75" i="4"/>
  <c r="W71" i="4"/>
  <c r="W67" i="4"/>
  <c r="V118" i="5" l="1"/>
  <c r="V130" i="4"/>
  <c r="V134" i="4"/>
  <c r="V126" i="5"/>
  <c r="V122" i="4"/>
  <c r="V134" i="5"/>
  <c r="V120" i="4"/>
  <c r="V132" i="5"/>
  <c r="V132" i="4"/>
  <c r="V122" i="5"/>
  <c r="V124" i="4"/>
  <c r="V136" i="5"/>
  <c r="V124" i="5"/>
  <c r="V120" i="5"/>
  <c r="V128" i="5"/>
  <c r="V130" i="5"/>
  <c r="V126" i="4"/>
  <c r="V128" i="4"/>
  <c r="V118" i="4"/>
  <c r="V136" i="4"/>
  <c r="V71" i="5"/>
  <c r="V73" i="5"/>
  <c r="V75" i="5"/>
  <c r="V77" i="5"/>
  <c r="V79" i="5"/>
  <c r="V81" i="5"/>
  <c r="V67" i="5"/>
  <c r="V69" i="5"/>
  <c r="V83" i="5"/>
  <c r="V85" i="5"/>
  <c r="X71" i="5" l="1"/>
  <c r="X83" i="5"/>
  <c r="X79" i="5"/>
  <c r="X75" i="5"/>
  <c r="X67" i="5"/>
  <c r="X130" i="4"/>
  <c r="CB91" i="4" s="1"/>
  <c r="X122" i="5"/>
  <c r="CB10" i="5" s="1"/>
  <c r="X134" i="4"/>
  <c r="CD145" i="4" s="1"/>
  <c r="X118" i="5"/>
  <c r="CA6" i="5" s="1"/>
  <c r="X126" i="5"/>
  <c r="CB44" i="5" s="1"/>
  <c r="X122" i="4"/>
  <c r="CB17" i="4" s="1"/>
  <c r="X126" i="4"/>
  <c r="CC46" i="4" s="1"/>
  <c r="X130" i="5"/>
  <c r="CC86" i="5" s="1"/>
  <c r="X118" i="4"/>
  <c r="CB4" i="4" s="1"/>
  <c r="X134" i="5"/>
  <c r="CD137" i="5" s="1"/>
  <c r="Q86" i="4"/>
  <c r="P86" i="4"/>
  <c r="O86" i="4"/>
  <c r="N86" i="4"/>
  <c r="M86" i="4"/>
  <c r="L86" i="4"/>
  <c r="R86" i="4" s="1"/>
  <c r="K86" i="4"/>
  <c r="J86" i="4"/>
  <c r="I86" i="4"/>
  <c r="H86" i="4"/>
  <c r="G86" i="4"/>
  <c r="F86" i="4"/>
  <c r="Q85" i="4"/>
  <c r="P85" i="4"/>
  <c r="O85" i="4"/>
  <c r="N85" i="4"/>
  <c r="M85" i="4"/>
  <c r="L85" i="4"/>
  <c r="K85" i="4"/>
  <c r="J85" i="4"/>
  <c r="I85" i="4"/>
  <c r="H85" i="4"/>
  <c r="G85" i="4"/>
  <c r="F85" i="4"/>
  <c r="Q84" i="4"/>
  <c r="P84" i="4"/>
  <c r="O84" i="4"/>
  <c r="N84" i="4"/>
  <c r="M84" i="4"/>
  <c r="L84" i="4"/>
  <c r="R84" i="4" s="1"/>
  <c r="K84" i="4"/>
  <c r="J84" i="4"/>
  <c r="I84" i="4"/>
  <c r="H84" i="4"/>
  <c r="G84" i="4"/>
  <c r="F84" i="4"/>
  <c r="Q83" i="4"/>
  <c r="P83" i="4"/>
  <c r="O83" i="4"/>
  <c r="N83" i="4"/>
  <c r="M83" i="4"/>
  <c r="R83" i="4" s="1"/>
  <c r="L83" i="4"/>
  <c r="K83" i="4"/>
  <c r="J83" i="4"/>
  <c r="I83" i="4"/>
  <c r="H83" i="4"/>
  <c r="G83" i="4"/>
  <c r="F83" i="4"/>
  <c r="Q82" i="4"/>
  <c r="P82" i="4"/>
  <c r="O82" i="4"/>
  <c r="N82" i="4"/>
  <c r="M82" i="4"/>
  <c r="L82" i="4"/>
  <c r="R82" i="4" s="1"/>
  <c r="K82" i="4"/>
  <c r="J82" i="4"/>
  <c r="I82" i="4"/>
  <c r="H82" i="4"/>
  <c r="G82" i="4"/>
  <c r="F82" i="4"/>
  <c r="Q81" i="4"/>
  <c r="P81" i="4"/>
  <c r="O81" i="4"/>
  <c r="N81" i="4"/>
  <c r="M81" i="4"/>
  <c r="L81" i="4"/>
  <c r="K81" i="4"/>
  <c r="J81" i="4"/>
  <c r="I81" i="4"/>
  <c r="H81" i="4"/>
  <c r="G81" i="4"/>
  <c r="F81" i="4"/>
  <c r="Q80" i="4"/>
  <c r="P80" i="4"/>
  <c r="O80" i="4"/>
  <c r="N80" i="4"/>
  <c r="M80" i="4"/>
  <c r="L80" i="4"/>
  <c r="R80" i="4" s="1"/>
  <c r="K80" i="4"/>
  <c r="J80" i="4"/>
  <c r="I80" i="4"/>
  <c r="H80" i="4"/>
  <c r="G80" i="4"/>
  <c r="F80" i="4"/>
  <c r="Q79" i="4"/>
  <c r="P79" i="4"/>
  <c r="O79" i="4"/>
  <c r="N79" i="4"/>
  <c r="M79" i="4"/>
  <c r="L79" i="4"/>
  <c r="K79" i="4"/>
  <c r="J79" i="4"/>
  <c r="I79" i="4"/>
  <c r="H79" i="4"/>
  <c r="G79" i="4"/>
  <c r="F79" i="4"/>
  <c r="Q78" i="4"/>
  <c r="P78" i="4"/>
  <c r="O78" i="4"/>
  <c r="N78" i="4"/>
  <c r="M78" i="4"/>
  <c r="L78" i="4"/>
  <c r="R78" i="4" s="1"/>
  <c r="K78" i="4"/>
  <c r="J78" i="4"/>
  <c r="I78" i="4"/>
  <c r="H78" i="4"/>
  <c r="G78" i="4"/>
  <c r="F78" i="4"/>
  <c r="Q77" i="4"/>
  <c r="P77" i="4"/>
  <c r="O77" i="4"/>
  <c r="N77" i="4"/>
  <c r="M77" i="4"/>
  <c r="L77" i="4"/>
  <c r="K77" i="4"/>
  <c r="J77" i="4"/>
  <c r="I77" i="4"/>
  <c r="H77" i="4"/>
  <c r="G77" i="4"/>
  <c r="F77" i="4"/>
  <c r="Q76" i="4"/>
  <c r="P76" i="4"/>
  <c r="O76" i="4"/>
  <c r="N76" i="4"/>
  <c r="M76" i="4"/>
  <c r="L76" i="4"/>
  <c r="R76" i="4" s="1"/>
  <c r="K76" i="4"/>
  <c r="J76" i="4"/>
  <c r="I76" i="4"/>
  <c r="H76" i="4"/>
  <c r="G76" i="4"/>
  <c r="F76" i="4"/>
  <c r="Q75" i="4"/>
  <c r="P75" i="4"/>
  <c r="O75" i="4"/>
  <c r="N75" i="4"/>
  <c r="M75" i="4"/>
  <c r="R75" i="4" s="1"/>
  <c r="L75" i="4"/>
  <c r="K75" i="4"/>
  <c r="J75" i="4"/>
  <c r="I75" i="4"/>
  <c r="H75" i="4"/>
  <c r="G75" i="4"/>
  <c r="F75" i="4"/>
  <c r="Q74" i="4"/>
  <c r="P74" i="4"/>
  <c r="O74" i="4"/>
  <c r="N74" i="4"/>
  <c r="M74" i="4"/>
  <c r="L74" i="4"/>
  <c r="K74" i="4"/>
  <c r="J74" i="4"/>
  <c r="I74" i="4"/>
  <c r="H74" i="4"/>
  <c r="G74" i="4"/>
  <c r="F74" i="4"/>
  <c r="Q73" i="4"/>
  <c r="P73" i="4"/>
  <c r="O73" i="4"/>
  <c r="N73" i="4"/>
  <c r="M73" i="4"/>
  <c r="L73" i="4"/>
  <c r="K73" i="4"/>
  <c r="J73" i="4"/>
  <c r="I73" i="4"/>
  <c r="H73" i="4"/>
  <c r="G73" i="4"/>
  <c r="F73" i="4"/>
  <c r="Q72" i="4"/>
  <c r="P72" i="4"/>
  <c r="O72" i="4"/>
  <c r="N72" i="4"/>
  <c r="M72" i="4"/>
  <c r="L72" i="4"/>
  <c r="K72" i="4"/>
  <c r="J72" i="4"/>
  <c r="I72" i="4"/>
  <c r="H72" i="4"/>
  <c r="G72" i="4"/>
  <c r="F72" i="4"/>
  <c r="Q71" i="4"/>
  <c r="P71" i="4"/>
  <c r="O71" i="4"/>
  <c r="N71" i="4"/>
  <c r="M71" i="4"/>
  <c r="L71" i="4"/>
  <c r="K71" i="4"/>
  <c r="J71" i="4"/>
  <c r="I71" i="4"/>
  <c r="H71" i="4"/>
  <c r="G71" i="4"/>
  <c r="F71" i="4"/>
  <c r="Q70" i="4"/>
  <c r="P70" i="4"/>
  <c r="O70" i="4"/>
  <c r="N70" i="4"/>
  <c r="M70" i="4"/>
  <c r="L70" i="4"/>
  <c r="K70" i="4"/>
  <c r="J70" i="4"/>
  <c r="I70" i="4"/>
  <c r="H70" i="4"/>
  <c r="G70" i="4"/>
  <c r="F70" i="4"/>
  <c r="Q69" i="4"/>
  <c r="P69" i="4"/>
  <c r="O69" i="4"/>
  <c r="N69" i="4"/>
  <c r="M69" i="4"/>
  <c r="L69" i="4"/>
  <c r="K69" i="4"/>
  <c r="J69" i="4"/>
  <c r="I69" i="4"/>
  <c r="H69" i="4"/>
  <c r="G69" i="4"/>
  <c r="F69" i="4"/>
  <c r="Q68" i="4"/>
  <c r="P68" i="4"/>
  <c r="O68" i="4"/>
  <c r="N68" i="4"/>
  <c r="M68" i="4"/>
  <c r="L68" i="4"/>
  <c r="K68" i="4"/>
  <c r="J68" i="4"/>
  <c r="I68" i="4"/>
  <c r="H68" i="4"/>
  <c r="G68" i="4"/>
  <c r="F68" i="4"/>
  <c r="R67" i="4"/>
  <c r="Q67" i="4"/>
  <c r="P67" i="4"/>
  <c r="O67" i="4"/>
  <c r="N67" i="4"/>
  <c r="M67" i="4"/>
  <c r="L67" i="4"/>
  <c r="K67" i="4"/>
  <c r="J67" i="4"/>
  <c r="I67" i="4"/>
  <c r="H67" i="4"/>
  <c r="G67" i="4"/>
  <c r="F67" i="4"/>
  <c r="W43" i="5"/>
  <c r="W39" i="5"/>
  <c r="W35" i="5"/>
  <c r="W31" i="5"/>
  <c r="W27" i="5"/>
  <c r="W43" i="4"/>
  <c r="W39" i="4"/>
  <c r="W35" i="4"/>
  <c r="W31" i="4"/>
  <c r="W27" i="4"/>
  <c r="R46" i="5"/>
  <c r="R45" i="5"/>
  <c r="R44" i="5"/>
  <c r="R43" i="5"/>
  <c r="R42" i="5"/>
  <c r="R41" i="5"/>
  <c r="R40" i="5"/>
  <c r="R39" i="5"/>
  <c r="R38" i="5"/>
  <c r="R37" i="5"/>
  <c r="R36" i="5"/>
  <c r="R35" i="5"/>
  <c r="R34" i="5"/>
  <c r="R33" i="5"/>
  <c r="R32" i="5"/>
  <c r="R31" i="5"/>
  <c r="R30" i="5"/>
  <c r="R29" i="5"/>
  <c r="R28" i="5"/>
  <c r="R27" i="5"/>
  <c r="O3" i="16"/>
  <c r="O2" i="16"/>
  <c r="CB97" i="4" l="1"/>
  <c r="CA96" i="4"/>
  <c r="CC107" i="4"/>
  <c r="CA111" i="4"/>
  <c r="CC103" i="4"/>
  <c r="CA114" i="4"/>
  <c r="CA109" i="4"/>
  <c r="CB40" i="5"/>
  <c r="CA115" i="4"/>
  <c r="CB95" i="4"/>
  <c r="CC134" i="4"/>
  <c r="CC129" i="4"/>
  <c r="CC108" i="4"/>
  <c r="CB128" i="4"/>
  <c r="CB98" i="4"/>
  <c r="CC111" i="4"/>
  <c r="CC132" i="4"/>
  <c r="CB93" i="4"/>
  <c r="CA113" i="4"/>
  <c r="CB139" i="4"/>
  <c r="CA29" i="4"/>
  <c r="CB108" i="4"/>
  <c r="CA106" i="4"/>
  <c r="CB11" i="5"/>
  <c r="CB59" i="5"/>
  <c r="CB131" i="4"/>
  <c r="CC116" i="4"/>
  <c r="CA94" i="4"/>
  <c r="CB136" i="4"/>
  <c r="CB96" i="4"/>
  <c r="CA112" i="4"/>
  <c r="CA98" i="4"/>
  <c r="CD139" i="4"/>
  <c r="CB94" i="4"/>
  <c r="CC101" i="4"/>
  <c r="CA110" i="4"/>
  <c r="CC110" i="4"/>
  <c r="CB114" i="4"/>
  <c r="CA133" i="4"/>
  <c r="CB102" i="4"/>
  <c r="CA105" i="4"/>
  <c r="CC143" i="4"/>
  <c r="CB113" i="4"/>
  <c r="CA124" i="4"/>
  <c r="CA146" i="4"/>
  <c r="CA108" i="4"/>
  <c r="CA100" i="4"/>
  <c r="CB100" i="4"/>
  <c r="CB115" i="4"/>
  <c r="CC104" i="4"/>
  <c r="CD124" i="4"/>
  <c r="CA131" i="4"/>
  <c r="CD128" i="4"/>
  <c r="CA148" i="4"/>
  <c r="CB33" i="5"/>
  <c r="CA120" i="4"/>
  <c r="CE145" i="4"/>
  <c r="CD143" i="4"/>
  <c r="CD134" i="4"/>
  <c r="CC29" i="5"/>
  <c r="CA121" i="4"/>
  <c r="CB124" i="4"/>
  <c r="CC146" i="4"/>
  <c r="CC137" i="4"/>
  <c r="CB42" i="5"/>
  <c r="CC124" i="4"/>
  <c r="CA142" i="4"/>
  <c r="CC140" i="4"/>
  <c r="CD127" i="4"/>
  <c r="CB146" i="4"/>
  <c r="CC136" i="4"/>
  <c r="CC28" i="5"/>
  <c r="CC62" i="5"/>
  <c r="CB64" i="5"/>
  <c r="CD77" i="5"/>
  <c r="CA9" i="5"/>
  <c r="CD129" i="4"/>
  <c r="CC105" i="4"/>
  <c r="CA118" i="4"/>
  <c r="CB103" i="4"/>
  <c r="CB107" i="4"/>
  <c r="CC118" i="4"/>
  <c r="CB129" i="4"/>
  <c r="CB138" i="4"/>
  <c r="CA141" i="4"/>
  <c r="CE137" i="4"/>
  <c r="CC139" i="4"/>
  <c r="CA143" i="4"/>
  <c r="CA24" i="5"/>
  <c r="CA18" i="5"/>
  <c r="CA95" i="4"/>
  <c r="CC123" i="4"/>
  <c r="CA93" i="4"/>
  <c r="CA107" i="4"/>
  <c r="CB110" i="4"/>
  <c r="CA129" i="4"/>
  <c r="CD119" i="4"/>
  <c r="CC114" i="4"/>
  <c r="CC120" i="4"/>
  <c r="CE140" i="4"/>
  <c r="CB142" i="4"/>
  <c r="CE147" i="4"/>
  <c r="CA32" i="5"/>
  <c r="CB106" i="4"/>
  <c r="CB105" i="4"/>
  <c r="CB118" i="4"/>
  <c r="CB101" i="4"/>
  <c r="CC109" i="4"/>
  <c r="CA147" i="4"/>
  <c r="CA139" i="4"/>
  <c r="CA136" i="4"/>
  <c r="CC142" i="4"/>
  <c r="CB143" i="4"/>
  <c r="CD40" i="5"/>
  <c r="CC115" i="4"/>
  <c r="CA99" i="4"/>
  <c r="CA101" i="4"/>
  <c r="CB116" i="4"/>
  <c r="CD121" i="4"/>
  <c r="CA103" i="4"/>
  <c r="CB112" i="4"/>
  <c r="CA119" i="4"/>
  <c r="CC119" i="4"/>
  <c r="CA130" i="4"/>
  <c r="CB109" i="4"/>
  <c r="CA125" i="4"/>
  <c r="CC117" i="4"/>
  <c r="CA116" i="4"/>
  <c r="CB134" i="4"/>
  <c r="CB130" i="4"/>
  <c r="CC126" i="4"/>
  <c r="CD148" i="4"/>
  <c r="CD146" i="4"/>
  <c r="CE148" i="4"/>
  <c r="CC144" i="4"/>
  <c r="CD144" i="4"/>
  <c r="CE144" i="4"/>
  <c r="CE139" i="4"/>
  <c r="CA135" i="4"/>
  <c r="CC148" i="4"/>
  <c r="CA38" i="5"/>
  <c r="CD42" i="5"/>
  <c r="CA14" i="5"/>
  <c r="CB127" i="4"/>
  <c r="CB99" i="4"/>
  <c r="CC112" i="4"/>
  <c r="CB120" i="4"/>
  <c r="CA122" i="4"/>
  <c r="CB104" i="4"/>
  <c r="CB119" i="4"/>
  <c r="CC102" i="4"/>
  <c r="CD125" i="4"/>
  <c r="CD131" i="4"/>
  <c r="CC113" i="4"/>
  <c r="CA126" i="4"/>
  <c r="CB121" i="4"/>
  <c r="CC121" i="4"/>
  <c r="CB135" i="4"/>
  <c r="CB132" i="4"/>
  <c r="CC128" i="4"/>
  <c r="CD120" i="4"/>
  <c r="CC135" i="4"/>
  <c r="CA132" i="4"/>
  <c r="CE146" i="4"/>
  <c r="CA145" i="4"/>
  <c r="CB145" i="4"/>
  <c r="CB140" i="4"/>
  <c r="CD137" i="4"/>
  <c r="CB5" i="4"/>
  <c r="CC30" i="5"/>
  <c r="CB43" i="5"/>
  <c r="CA97" i="4"/>
  <c r="CA102" i="4"/>
  <c r="CB117" i="4"/>
  <c r="CA127" i="4"/>
  <c r="CD123" i="4"/>
  <c r="CC106" i="4"/>
  <c r="CA128" i="4"/>
  <c r="CA104" i="4"/>
  <c r="CC131" i="4"/>
  <c r="CB133" i="4"/>
  <c r="CA117" i="4"/>
  <c r="CC127" i="4"/>
  <c r="CB125" i="4"/>
  <c r="CA123" i="4"/>
  <c r="CD138" i="4"/>
  <c r="CC133" i="4"/>
  <c r="CC130" i="4"/>
  <c r="CD122" i="4"/>
  <c r="CC138" i="4"/>
  <c r="CA134" i="4"/>
  <c r="CB147" i="4"/>
  <c r="CC147" i="4"/>
  <c r="CD147" i="4"/>
  <c r="CD142" i="4"/>
  <c r="CA138" i="4"/>
  <c r="CB25" i="5"/>
  <c r="CB32" i="5"/>
  <c r="CC41" i="5"/>
  <c r="CB123" i="4"/>
  <c r="CB144" i="4"/>
  <c r="CD135" i="4"/>
  <c r="CC125" i="4"/>
  <c r="CB122" i="4"/>
  <c r="CE143" i="4"/>
  <c r="CD133" i="4"/>
  <c r="CD126" i="4"/>
  <c r="CB141" i="4"/>
  <c r="CE138" i="4"/>
  <c r="CA137" i="4"/>
  <c r="CB137" i="4"/>
  <c r="CD132" i="4"/>
  <c r="CC145" i="4"/>
  <c r="CE142" i="4"/>
  <c r="CA30" i="5"/>
  <c r="CB34" i="5"/>
  <c r="CB46" i="5"/>
  <c r="CB111" i="4"/>
  <c r="CD140" i="4"/>
  <c r="CB126" i="4"/>
  <c r="CC122" i="4"/>
  <c r="CC141" i="4"/>
  <c r="CD130" i="4"/>
  <c r="CA144" i="4"/>
  <c r="CD141" i="4"/>
  <c r="CE141" i="4"/>
  <c r="CA140" i="4"/>
  <c r="CD136" i="4"/>
  <c r="CB148" i="4"/>
  <c r="CA31" i="5"/>
  <c r="CA25" i="5"/>
  <c r="CC44" i="5"/>
  <c r="CA23" i="5"/>
  <c r="CC33" i="5"/>
  <c r="CB26" i="5"/>
  <c r="CA41" i="5"/>
  <c r="CD41" i="5"/>
  <c r="CC31" i="5"/>
  <c r="CB28" i="5"/>
  <c r="CA27" i="5"/>
  <c r="CC36" i="5"/>
  <c r="CA28" i="5"/>
  <c r="CA43" i="5"/>
  <c r="CD45" i="5"/>
  <c r="CB20" i="5"/>
  <c r="CA29" i="5"/>
  <c r="CC46" i="5"/>
  <c r="CB35" i="5"/>
  <c r="CA45" i="5"/>
  <c r="CB36" i="5"/>
  <c r="CB21" i="5"/>
  <c r="CB30" i="5"/>
  <c r="CB24" i="5"/>
  <c r="CC32" i="5"/>
  <c r="CA21" i="5"/>
  <c r="CC38" i="5"/>
  <c r="CB41" i="5"/>
  <c r="CC39" i="5"/>
  <c r="CA39" i="5"/>
  <c r="CA34" i="5"/>
  <c r="CB27" i="5"/>
  <c r="CA35" i="5"/>
  <c r="CD44" i="5"/>
  <c r="CC34" i="5"/>
  <c r="CC40" i="5"/>
  <c r="CB37" i="5"/>
  <c r="CB29" i="5"/>
  <c r="CB22" i="5"/>
  <c r="CD46" i="5"/>
  <c r="CA36" i="5"/>
  <c r="CB38" i="5"/>
  <c r="CC37" i="5"/>
  <c r="CA22" i="5"/>
  <c r="CB31" i="5"/>
  <c r="CC35" i="5"/>
  <c r="CC43" i="5"/>
  <c r="CA40" i="5"/>
  <c r="CA81" i="5"/>
  <c r="CA5" i="4"/>
  <c r="CA20" i="5"/>
  <c r="CB23" i="5"/>
  <c r="CA26" i="5"/>
  <c r="CC42" i="5"/>
  <c r="CA37" i="5"/>
  <c r="CC45" i="5"/>
  <c r="CA44" i="5"/>
  <c r="CA51" i="5"/>
  <c r="CA16" i="5"/>
  <c r="CB13" i="5"/>
  <c r="CA17" i="5"/>
  <c r="CB39" i="5"/>
  <c r="CA42" i="5"/>
  <c r="CB45" i="5"/>
  <c r="CD43" i="5"/>
  <c r="CA46" i="5"/>
  <c r="CA33" i="5"/>
  <c r="CD78" i="5"/>
  <c r="CC133" i="5"/>
  <c r="CB18" i="5"/>
  <c r="CA8" i="5"/>
  <c r="CB9" i="5"/>
  <c r="CB8" i="5"/>
  <c r="CA10" i="5"/>
  <c r="BZ10" i="5" s="1"/>
  <c r="CB15" i="5"/>
  <c r="CA11" i="5"/>
  <c r="CB16" i="5"/>
  <c r="CC18" i="5"/>
  <c r="CB14" i="5"/>
  <c r="CC16" i="5"/>
  <c r="CC14" i="5"/>
  <c r="CC17" i="5"/>
  <c r="CD120" i="5"/>
  <c r="CB12" i="5"/>
  <c r="CA143" i="5"/>
  <c r="CA13" i="5"/>
  <c r="CA12" i="5"/>
  <c r="CB17" i="5"/>
  <c r="CC140" i="5"/>
  <c r="CA15" i="5"/>
  <c r="CC15" i="5"/>
  <c r="CC106" i="5"/>
  <c r="CB131" i="5"/>
  <c r="CC118" i="5"/>
  <c r="CD82" i="5"/>
  <c r="CB56" i="5"/>
  <c r="CB111" i="5"/>
  <c r="CB85" i="4"/>
  <c r="CB121" i="5"/>
  <c r="CC127" i="5"/>
  <c r="CB144" i="5"/>
  <c r="CB49" i="5"/>
  <c r="CC67" i="5"/>
  <c r="CA84" i="5"/>
  <c r="CB132" i="5"/>
  <c r="CC91" i="4"/>
  <c r="CB96" i="5"/>
  <c r="CD123" i="5"/>
  <c r="CD141" i="5"/>
  <c r="CC60" i="5"/>
  <c r="CC64" i="5"/>
  <c r="CC91" i="5"/>
  <c r="CA72" i="4"/>
  <c r="CB95" i="5"/>
  <c r="CA122" i="5"/>
  <c r="CC139" i="5"/>
  <c r="CA55" i="5"/>
  <c r="CA62" i="5"/>
  <c r="CA66" i="5"/>
  <c r="CD87" i="5"/>
  <c r="CE148" i="5"/>
  <c r="CA81" i="4"/>
  <c r="CB110" i="5"/>
  <c r="CB122" i="5"/>
  <c r="CC136" i="5"/>
  <c r="CA50" i="5"/>
  <c r="CC65" i="5"/>
  <c r="CC69" i="5"/>
  <c r="CA104" i="5"/>
  <c r="CC120" i="5"/>
  <c r="CA148" i="5"/>
  <c r="CA57" i="5"/>
  <c r="CA67" i="5"/>
  <c r="CA71" i="5"/>
  <c r="CC101" i="5"/>
  <c r="CB112" i="5"/>
  <c r="CA106" i="5"/>
  <c r="CB133" i="5"/>
  <c r="CC128" i="5"/>
  <c r="CA134" i="5"/>
  <c r="CA146" i="5"/>
  <c r="CB6" i="4"/>
  <c r="CA103" i="5"/>
  <c r="CB105" i="5"/>
  <c r="CB99" i="5"/>
  <c r="CA101" i="5"/>
  <c r="CC119" i="5"/>
  <c r="CA107" i="5"/>
  <c r="CC102" i="5"/>
  <c r="CB127" i="5"/>
  <c r="CA114" i="5"/>
  <c r="CA129" i="5"/>
  <c r="CC125" i="5"/>
  <c r="CD121" i="5"/>
  <c r="CA120" i="5"/>
  <c r="CB120" i="5"/>
  <c r="CA118" i="5"/>
  <c r="CB118" i="5"/>
  <c r="CD148" i="5"/>
  <c r="CC146" i="5"/>
  <c r="CE143" i="5"/>
  <c r="CB139" i="5"/>
  <c r="CA137" i="5"/>
  <c r="CC134" i="5"/>
  <c r="CD147" i="5"/>
  <c r="CD142" i="5"/>
  <c r="CA138" i="5"/>
  <c r="CB48" i="5"/>
  <c r="CC71" i="5"/>
  <c r="CB51" i="5"/>
  <c r="CB57" i="5"/>
  <c r="CB62" i="5"/>
  <c r="CD86" i="5"/>
  <c r="CA61" i="5"/>
  <c r="CB61" i="5"/>
  <c r="CB66" i="5"/>
  <c r="CA68" i="5"/>
  <c r="CB89" i="5"/>
  <c r="CC87" i="5"/>
  <c r="CA96" i="5"/>
  <c r="CA108" i="5"/>
  <c r="CC113" i="5"/>
  <c r="CA98" i="5"/>
  <c r="CC114" i="5"/>
  <c r="CD125" i="5"/>
  <c r="CB124" i="5"/>
  <c r="CD122" i="5"/>
  <c r="CD131" i="5"/>
  <c r="CA142" i="5"/>
  <c r="CB137" i="5"/>
  <c r="CC145" i="5"/>
  <c r="CE142" i="5"/>
  <c r="CA4" i="4"/>
  <c r="BZ4" i="4" s="1"/>
  <c r="CB113" i="5"/>
  <c r="CA97" i="5"/>
  <c r="CB100" i="5"/>
  <c r="CA109" i="5"/>
  <c r="CA102" i="5"/>
  <c r="CA117" i="5"/>
  <c r="CC110" i="5"/>
  <c r="CB101" i="5"/>
  <c r="CC109" i="5"/>
  <c r="CC115" i="5"/>
  <c r="CC131" i="5"/>
  <c r="CD127" i="5"/>
  <c r="CA126" i="5"/>
  <c r="CB126" i="5"/>
  <c r="CC124" i="5"/>
  <c r="CD124" i="5"/>
  <c r="CC138" i="5"/>
  <c r="CD133" i="5"/>
  <c r="CA147" i="5"/>
  <c r="CC144" i="5"/>
  <c r="CB142" i="5"/>
  <c r="CD139" i="5"/>
  <c r="CD134" i="5"/>
  <c r="CE147" i="5"/>
  <c r="CB143" i="5"/>
  <c r="CA48" i="5"/>
  <c r="CB50" i="5"/>
  <c r="CB53" i="5"/>
  <c r="CC56" i="5"/>
  <c r="CB65" i="5"/>
  <c r="CB70" i="5"/>
  <c r="CA64" i="5"/>
  <c r="CA69" i="5"/>
  <c r="CB69" i="5"/>
  <c r="CA75" i="5"/>
  <c r="CB91" i="5"/>
  <c r="CA88" i="5"/>
  <c r="CB88" i="5"/>
  <c r="CC111" i="5"/>
  <c r="CA93" i="5"/>
  <c r="CA99" i="5"/>
  <c r="CB107" i="5"/>
  <c r="CB106" i="5"/>
  <c r="CC129" i="5"/>
  <c r="CA124" i="5"/>
  <c r="CC122" i="5"/>
  <c r="CC135" i="5"/>
  <c r="CD146" i="5"/>
  <c r="CE141" i="5"/>
  <c r="CD132" i="5"/>
  <c r="CA6" i="4"/>
  <c r="CB138" i="5"/>
  <c r="CA100" i="5"/>
  <c r="CC103" i="5"/>
  <c r="CA110" i="5"/>
  <c r="CA105" i="5"/>
  <c r="CA119" i="5"/>
  <c r="CA112" i="5"/>
  <c r="CC104" i="5"/>
  <c r="CA111" i="5"/>
  <c r="CA121" i="5"/>
  <c r="CE137" i="5"/>
  <c r="CD129" i="5"/>
  <c r="CA128" i="5"/>
  <c r="CB128" i="5"/>
  <c r="CC126" i="5"/>
  <c r="CD126" i="5"/>
  <c r="CE140" i="5"/>
  <c r="CD135" i="5"/>
  <c r="CA132" i="5"/>
  <c r="CE146" i="5"/>
  <c r="CD144" i="5"/>
  <c r="CA140" i="5"/>
  <c r="CD136" i="5"/>
  <c r="CB148" i="5"/>
  <c r="CD145" i="5"/>
  <c r="CB58" i="5"/>
  <c r="CC57" i="5"/>
  <c r="CA56" i="5"/>
  <c r="CB68" i="5"/>
  <c r="CC68" i="5"/>
  <c r="CC73" i="5"/>
  <c r="CB67" i="5"/>
  <c r="CB72" i="5"/>
  <c r="CC72" i="5"/>
  <c r="CC80" i="5"/>
  <c r="CB81" i="5"/>
  <c r="CA76" i="5"/>
  <c r="CC84" i="5"/>
  <c r="CC107" i="5"/>
  <c r="CA123" i="5"/>
  <c r="CB125" i="5"/>
  <c r="CB130" i="5"/>
  <c r="CB141" i="5"/>
  <c r="CB147" i="5"/>
  <c r="CC142" i="5"/>
  <c r="CA133" i="5"/>
  <c r="CB54" i="5"/>
  <c r="CB60" i="5"/>
  <c r="CA73" i="5"/>
  <c r="CA54" i="5"/>
  <c r="CA70" i="5"/>
  <c r="CC76" i="5"/>
  <c r="CC70" i="5"/>
  <c r="CA79" i="5"/>
  <c r="CC74" i="5"/>
  <c r="CA91" i="5"/>
  <c r="CA87" i="5"/>
  <c r="CB84" i="5"/>
  <c r="CC88" i="5"/>
  <c r="CC121" i="5"/>
  <c r="CB114" i="5"/>
  <c r="CA130" i="5"/>
  <c r="CA145" i="5"/>
  <c r="CA113" i="5"/>
  <c r="CB103" i="5"/>
  <c r="CB97" i="5"/>
  <c r="CC143" i="5"/>
  <c r="CA95" i="5"/>
  <c r="CB102" i="5"/>
  <c r="CA127" i="5"/>
  <c r="CB119" i="5"/>
  <c r="CB109" i="5"/>
  <c r="CB115" i="5"/>
  <c r="CB129" i="5"/>
  <c r="CC117" i="5"/>
  <c r="CA141" i="5"/>
  <c r="CE145" i="5"/>
  <c r="CD140" i="5"/>
  <c r="CC130" i="5"/>
  <c r="CD130" i="5"/>
  <c r="CD143" i="5"/>
  <c r="CA139" i="5"/>
  <c r="CA136" i="5"/>
  <c r="CB134" i="5"/>
  <c r="CC147" i="5"/>
  <c r="CE144" i="5"/>
  <c r="CE139" i="5"/>
  <c r="CA135" i="5"/>
  <c r="CC148" i="5"/>
  <c r="CA65" i="5"/>
  <c r="CA77" i="5"/>
  <c r="CC75" i="5"/>
  <c r="CC63" i="5"/>
  <c r="CB73" i="5"/>
  <c r="CC78" i="5"/>
  <c r="CA72" i="5"/>
  <c r="CA83" i="5"/>
  <c r="CC61" i="5"/>
  <c r="CC58" i="5"/>
  <c r="CC77" i="5"/>
  <c r="CB76" i="5"/>
  <c r="CB94" i="5"/>
  <c r="CC108" i="5"/>
  <c r="CB117" i="5"/>
  <c r="CB146" i="5"/>
  <c r="CD128" i="5"/>
  <c r="CD138" i="5"/>
  <c r="CC137" i="5"/>
  <c r="CA94" i="5"/>
  <c r="CB104" i="5"/>
  <c r="CB98" i="5"/>
  <c r="CB93" i="5"/>
  <c r="CB108" i="5"/>
  <c r="CC105" i="5"/>
  <c r="CA131" i="5"/>
  <c r="CB123" i="5"/>
  <c r="CC112" i="5"/>
  <c r="CA125" i="5"/>
  <c r="CC123" i="5"/>
  <c r="CD119" i="5"/>
  <c r="CA116" i="5"/>
  <c r="CB116" i="5"/>
  <c r="CC116" i="5"/>
  <c r="CA115" i="5"/>
  <c r="CB135" i="5"/>
  <c r="CA144" i="5"/>
  <c r="CC141" i="5"/>
  <c r="CE138" i="5"/>
  <c r="CB136" i="5"/>
  <c r="CC132" i="5"/>
  <c r="CB145" i="5"/>
  <c r="CB140" i="5"/>
  <c r="CA52" i="5"/>
  <c r="CA53" i="5"/>
  <c r="CA49" i="5"/>
  <c r="CB55" i="5"/>
  <c r="CA59" i="5"/>
  <c r="CC82" i="5"/>
  <c r="CC59" i="5"/>
  <c r="CA58" i="5"/>
  <c r="CA63" i="5"/>
  <c r="CB63" i="5"/>
  <c r="CA85" i="5"/>
  <c r="CB80" i="5"/>
  <c r="CC66" i="4"/>
  <c r="CC69" i="4"/>
  <c r="CD78" i="4"/>
  <c r="CB68" i="4"/>
  <c r="CB84" i="4"/>
  <c r="CB82" i="4"/>
  <c r="CC88" i="4"/>
  <c r="CC75" i="4"/>
  <c r="CA49" i="4"/>
  <c r="CC84" i="4"/>
  <c r="CC60" i="4"/>
  <c r="CC63" i="4"/>
  <c r="CC85" i="4"/>
  <c r="CB50" i="4"/>
  <c r="CA63" i="4"/>
  <c r="CC70" i="4"/>
  <c r="CB72" i="4"/>
  <c r="CA84" i="4"/>
  <c r="CC57" i="4"/>
  <c r="CA78" i="4"/>
  <c r="CD89" i="4"/>
  <c r="CB86" i="4"/>
  <c r="CA89" i="4"/>
  <c r="CB4" i="5"/>
  <c r="CB52" i="4"/>
  <c r="CD84" i="4"/>
  <c r="CB78" i="4"/>
  <c r="CC90" i="4"/>
  <c r="CB53" i="4"/>
  <c r="CB66" i="4"/>
  <c r="CD87" i="4"/>
  <c r="CC72" i="4"/>
  <c r="CB64" i="4"/>
  <c r="CB54" i="4"/>
  <c r="CA54" i="4"/>
  <c r="CC68" i="4"/>
  <c r="CB51" i="4"/>
  <c r="CA79" i="4"/>
  <c r="CA69" i="4"/>
  <c r="CB70" i="4"/>
  <c r="CC61" i="4"/>
  <c r="CA76" i="4"/>
  <c r="CA67" i="4"/>
  <c r="CA83" i="4"/>
  <c r="CA65" i="4"/>
  <c r="CD88" i="4"/>
  <c r="CB73" i="4"/>
  <c r="CC71" i="4"/>
  <c r="CC87" i="4"/>
  <c r="CA91" i="4"/>
  <c r="CA5" i="5"/>
  <c r="CB49" i="4"/>
  <c r="CA80" i="4"/>
  <c r="CB57" i="4"/>
  <c r="CB80" i="4"/>
  <c r="CA56" i="4"/>
  <c r="CA66" i="4"/>
  <c r="CB87" i="4"/>
  <c r="CA71" i="4"/>
  <c r="CA64" i="4"/>
  <c r="CA77" i="4"/>
  <c r="CB71" i="4"/>
  <c r="CD85" i="4"/>
  <c r="CB67" i="4"/>
  <c r="CB89" i="4"/>
  <c r="CD74" i="4"/>
  <c r="CA73" i="4"/>
  <c r="CA82" i="4"/>
  <c r="CA4" i="5"/>
  <c r="CD79" i="4"/>
  <c r="CC78" i="4"/>
  <c r="CA53" i="4"/>
  <c r="CB48" i="4"/>
  <c r="CB88" i="4"/>
  <c r="CA70" i="4"/>
  <c r="CA87" i="4"/>
  <c r="CC59" i="4"/>
  <c r="CD86" i="4"/>
  <c r="CC73" i="4"/>
  <c r="CB79" i="4"/>
  <c r="CB74" i="4"/>
  <c r="CB90" i="4"/>
  <c r="CC74" i="4"/>
  <c r="CA62" i="4"/>
  <c r="CD83" i="4"/>
  <c r="CC77" i="4"/>
  <c r="CA86" i="4"/>
  <c r="CB5" i="5"/>
  <c r="CB56" i="4"/>
  <c r="CB59" i="4"/>
  <c r="CA61" i="4"/>
  <c r="CB55" i="4"/>
  <c r="CA51" i="4"/>
  <c r="CA75" i="4"/>
  <c r="CB58" i="4"/>
  <c r="CA60" i="4"/>
  <c r="CD91" i="4"/>
  <c r="CA74" i="4"/>
  <c r="CC80" i="4"/>
  <c r="CB75" i="4"/>
  <c r="CA55" i="4"/>
  <c r="CD75" i="4"/>
  <c r="CB65" i="4"/>
  <c r="CC86" i="4"/>
  <c r="CC79" i="4"/>
  <c r="CA88" i="4"/>
  <c r="CB6" i="5"/>
  <c r="BZ6" i="5" s="1"/>
  <c r="CA58" i="4"/>
  <c r="CB63" i="4"/>
  <c r="CD81" i="4"/>
  <c r="CC58" i="4"/>
  <c r="CB69" i="4"/>
  <c r="CB76" i="4"/>
  <c r="CA59" i="4"/>
  <c r="CB61" i="4"/>
  <c r="CA48" i="4"/>
  <c r="CB81" i="4"/>
  <c r="CC82" i="4"/>
  <c r="CC76" i="4"/>
  <c r="CA57" i="4"/>
  <c r="CD76" i="4"/>
  <c r="CC67" i="4"/>
  <c r="CC89" i="4"/>
  <c r="CC81" i="4"/>
  <c r="CA90" i="4"/>
  <c r="CB62" i="4"/>
  <c r="CC56" i="4"/>
  <c r="CA50" i="4"/>
  <c r="CC64" i="4"/>
  <c r="CD80" i="4"/>
  <c r="CB77" i="4"/>
  <c r="CC62" i="4"/>
  <c r="CC65" i="4"/>
  <c r="CA52" i="4"/>
  <c r="CD82" i="4"/>
  <c r="CA85" i="4"/>
  <c r="CD77" i="4"/>
  <c r="CB60" i="4"/>
  <c r="CB83" i="4"/>
  <c r="CA68" i="4"/>
  <c r="CD90" i="4"/>
  <c r="CC83" i="4"/>
  <c r="CB8" i="4"/>
  <c r="CA11" i="4"/>
  <c r="CB14" i="4"/>
  <c r="CA10" i="4"/>
  <c r="CA14" i="4"/>
  <c r="CB15" i="4"/>
  <c r="CA13" i="4"/>
  <c r="CA15" i="4"/>
  <c r="CB13" i="4"/>
  <c r="CB16" i="4"/>
  <c r="CB18" i="4"/>
  <c r="CC17" i="4"/>
  <c r="CC18" i="4"/>
  <c r="CA8" i="4"/>
  <c r="CB11" i="4"/>
  <c r="CB9" i="4"/>
  <c r="CB10" i="4"/>
  <c r="CA12" i="4"/>
  <c r="CA16" i="4"/>
  <c r="CC16" i="4"/>
  <c r="CC15" i="4"/>
  <c r="CC14" i="4"/>
  <c r="CA18" i="4"/>
  <c r="CA17" i="4"/>
  <c r="CB12" i="4"/>
  <c r="CA9" i="4"/>
  <c r="CA20" i="4"/>
  <c r="CA42" i="4"/>
  <c r="CB29" i="4"/>
  <c r="CB31" i="4"/>
  <c r="CB34" i="4"/>
  <c r="CA21" i="4"/>
  <c r="CC38" i="4"/>
  <c r="CA43" i="4"/>
  <c r="CC45" i="4"/>
  <c r="CB28" i="4"/>
  <c r="CA23" i="4"/>
  <c r="CB36" i="4"/>
  <c r="CA24" i="4"/>
  <c r="CB20" i="4"/>
  <c r="CC32" i="4"/>
  <c r="CC37" i="4"/>
  <c r="CC34" i="4"/>
  <c r="CD40" i="4"/>
  <c r="CA46" i="4"/>
  <c r="CA30" i="4"/>
  <c r="CA33" i="4"/>
  <c r="CB33" i="4"/>
  <c r="CB30" i="4"/>
  <c r="CB24" i="4"/>
  <c r="CA34" i="4"/>
  <c r="CA41" i="4"/>
  <c r="CA36" i="4"/>
  <c r="CD42" i="4"/>
  <c r="CB39" i="4"/>
  <c r="CB37" i="4"/>
  <c r="CA40" i="4"/>
  <c r="CC35" i="4"/>
  <c r="CC33" i="4"/>
  <c r="CD41" i="4"/>
  <c r="CB21" i="4"/>
  <c r="CB40" i="4"/>
  <c r="CC36" i="4"/>
  <c r="CA35" i="4"/>
  <c r="CA32" i="4"/>
  <c r="CB38" i="4"/>
  <c r="CC29" i="4"/>
  <c r="CB41" i="4"/>
  <c r="CB45" i="4"/>
  <c r="CD43" i="4"/>
  <c r="CB25" i="4"/>
  <c r="CA22" i="4"/>
  <c r="CC28" i="4"/>
  <c r="CC31" i="4"/>
  <c r="CB44" i="4"/>
  <c r="CC39" i="4"/>
  <c r="CB35" i="4"/>
  <c r="CB43" i="4"/>
  <c r="CB22" i="4"/>
  <c r="CA44" i="4"/>
  <c r="CA39" i="4"/>
  <c r="CD45" i="4"/>
  <c r="CA37" i="4"/>
  <c r="CC30" i="4"/>
  <c r="CD44" i="4"/>
  <c r="CA38" i="4"/>
  <c r="CC40" i="4"/>
  <c r="CD46" i="4"/>
  <c r="CB42" i="4"/>
  <c r="CB23" i="4"/>
  <c r="CA26" i="4"/>
  <c r="CB26" i="4"/>
  <c r="CC42" i="4"/>
  <c r="CC41" i="4"/>
  <c r="CB46" i="4"/>
  <c r="CB32" i="4"/>
  <c r="CA25" i="4"/>
  <c r="CA27" i="4"/>
  <c r="CA45" i="4"/>
  <c r="CB27" i="4"/>
  <c r="CA31" i="4"/>
  <c r="CA28" i="4"/>
  <c r="CC44" i="4"/>
  <c r="CC43" i="4"/>
  <c r="CB71" i="5"/>
  <c r="CA90" i="5"/>
  <c r="CC79" i="5"/>
  <c r="CD79" i="5"/>
  <c r="CA78" i="5"/>
  <c r="CB82" i="5"/>
  <c r="CD89" i="5"/>
  <c r="CC90" i="5"/>
  <c r="CB75" i="5"/>
  <c r="CB77" i="5"/>
  <c r="CC81" i="5"/>
  <c r="CD81" i="5"/>
  <c r="CA80" i="5"/>
  <c r="CD84" i="5"/>
  <c r="CD91" i="5"/>
  <c r="CD88" i="5"/>
  <c r="CB52" i="5"/>
  <c r="CD76" i="5"/>
  <c r="CB79" i="5"/>
  <c r="CC83" i="5"/>
  <c r="CD83" i="5"/>
  <c r="CA82" i="5"/>
  <c r="CC85" i="5"/>
  <c r="CB86" i="5"/>
  <c r="CD90" i="5"/>
  <c r="CA60" i="5"/>
  <c r="CD80" i="5"/>
  <c r="CB83" i="5"/>
  <c r="CB87" i="5"/>
  <c r="CB85" i="5"/>
  <c r="CB74" i="5"/>
  <c r="CC89" i="5"/>
  <c r="CB90" i="5"/>
  <c r="CD74" i="5"/>
  <c r="CC66" i="5"/>
  <c r="CA86" i="5"/>
  <c r="CA89" i="5"/>
  <c r="CD75" i="5"/>
  <c r="CA74" i="5"/>
  <c r="CB78" i="5"/>
  <c r="CD85" i="5"/>
  <c r="R71" i="4"/>
  <c r="R73" i="4"/>
  <c r="R70" i="4"/>
  <c r="R72" i="4"/>
  <c r="R74" i="4"/>
  <c r="R69" i="4"/>
  <c r="R77" i="4"/>
  <c r="V77" i="4" s="1"/>
  <c r="R79" i="4"/>
  <c r="R81" i="4"/>
  <c r="R68" i="4"/>
  <c r="R85" i="4"/>
  <c r="V85" i="4" s="1"/>
  <c r="V29" i="5"/>
  <c r="V37" i="5"/>
  <c r="V45" i="5"/>
  <c r="V33" i="5"/>
  <c r="V41" i="5"/>
  <c r="V31" i="5"/>
  <c r="V39" i="5"/>
  <c r="V27" i="5"/>
  <c r="V35" i="5"/>
  <c r="V43" i="5"/>
  <c r="BZ68" i="4" l="1"/>
  <c r="BZ51" i="4"/>
  <c r="X27" i="5"/>
  <c r="BE4" i="5" s="1"/>
  <c r="X43" i="5"/>
  <c r="BH140" i="5" s="1"/>
  <c r="X35" i="5"/>
  <c r="BF35" i="5" s="1"/>
  <c r="X39" i="5"/>
  <c r="BF91" i="5" s="1"/>
  <c r="X31" i="5"/>
  <c r="BD11" i="5" s="1"/>
  <c r="V83" i="4"/>
  <c r="X83" i="4" s="1"/>
  <c r="V75" i="4"/>
  <c r="X75" i="4" s="1"/>
  <c r="BZ113" i="4"/>
  <c r="BZ97" i="4"/>
  <c r="BZ96" i="4"/>
  <c r="BZ62" i="5"/>
  <c r="BZ103" i="4"/>
  <c r="BZ104" i="4"/>
  <c r="BZ95" i="4"/>
  <c r="BZ115" i="4"/>
  <c r="BZ93" i="4"/>
  <c r="BZ94" i="4"/>
  <c r="BZ12" i="5"/>
  <c r="BZ111" i="4"/>
  <c r="BZ11" i="5"/>
  <c r="BZ8" i="5"/>
  <c r="BZ43" i="5"/>
  <c r="BZ9" i="5"/>
  <c r="BZ98" i="5"/>
  <c r="BZ109" i="4"/>
  <c r="BZ99" i="4"/>
  <c r="BZ98" i="4"/>
  <c r="BZ108" i="4"/>
  <c r="BZ29" i="5"/>
  <c r="BZ124" i="4"/>
  <c r="BZ101" i="4"/>
  <c r="BZ110" i="4"/>
  <c r="BZ99" i="5"/>
  <c r="BZ52" i="5"/>
  <c r="BZ116" i="4"/>
  <c r="BZ100" i="4"/>
  <c r="BZ133" i="4"/>
  <c r="BZ146" i="4"/>
  <c r="BZ114" i="4"/>
  <c r="BZ148" i="4"/>
  <c r="BZ31" i="5"/>
  <c r="BZ93" i="5"/>
  <c r="BZ106" i="5"/>
  <c r="BZ13" i="5"/>
  <c r="BZ22" i="5"/>
  <c r="BZ120" i="4"/>
  <c r="BZ131" i="4"/>
  <c r="BZ112" i="4"/>
  <c r="BZ119" i="4"/>
  <c r="BZ24" i="5"/>
  <c r="BZ107" i="4"/>
  <c r="BZ42" i="5"/>
  <c r="BZ105" i="4"/>
  <c r="BZ4" i="5"/>
  <c r="BZ23" i="5"/>
  <c r="BZ123" i="4"/>
  <c r="BZ128" i="4"/>
  <c r="BZ104" i="5"/>
  <c r="BZ5" i="4"/>
  <c r="BZ134" i="5"/>
  <c r="BZ45" i="5"/>
  <c r="BZ63" i="5"/>
  <c r="BZ94" i="5"/>
  <c r="BZ68" i="5"/>
  <c r="BZ118" i="4"/>
  <c r="BZ145" i="4"/>
  <c r="BZ26" i="5"/>
  <c r="BZ13" i="4"/>
  <c r="BZ65" i="4"/>
  <c r="BZ96" i="5"/>
  <c r="BZ35" i="5"/>
  <c r="BZ125" i="4"/>
  <c r="BZ142" i="4"/>
  <c r="BZ106" i="4"/>
  <c r="BZ129" i="4"/>
  <c r="BZ134" i="4"/>
  <c r="BZ140" i="4"/>
  <c r="BZ136" i="4"/>
  <c r="BZ102" i="4"/>
  <c r="BZ107" i="5"/>
  <c r="BZ34" i="5"/>
  <c r="BZ38" i="5"/>
  <c r="BZ44" i="5"/>
  <c r="BZ120" i="5"/>
  <c r="BZ110" i="5"/>
  <c r="BZ143" i="4"/>
  <c r="BZ15" i="5"/>
  <c r="BZ57" i="5"/>
  <c r="BZ97" i="5"/>
  <c r="BZ37" i="5"/>
  <c r="BZ39" i="5"/>
  <c r="BZ36" i="5"/>
  <c r="BZ33" i="5"/>
  <c r="BZ141" i="4"/>
  <c r="BZ137" i="4"/>
  <c r="BZ147" i="4"/>
  <c r="BZ138" i="4"/>
  <c r="BZ30" i="5"/>
  <c r="BZ135" i="4"/>
  <c r="BZ139" i="4"/>
  <c r="BZ130" i="4"/>
  <c r="BZ18" i="5"/>
  <c r="BZ133" i="5"/>
  <c r="BZ119" i="5"/>
  <c r="BZ101" i="5"/>
  <c r="BZ17" i="5"/>
  <c r="BZ51" i="5"/>
  <c r="BZ21" i="5"/>
  <c r="BZ28" i="5"/>
  <c r="BZ126" i="4"/>
  <c r="BZ127" i="4"/>
  <c r="BZ132" i="4"/>
  <c r="BZ14" i="5"/>
  <c r="BZ144" i="4"/>
  <c r="BZ117" i="4"/>
  <c r="BZ121" i="4"/>
  <c r="BZ32" i="5"/>
  <c r="BZ40" i="5"/>
  <c r="BZ27" i="5"/>
  <c r="BZ122" i="4"/>
  <c r="BZ128" i="5"/>
  <c r="BZ58" i="4"/>
  <c r="BZ95" i="5"/>
  <c r="BZ70" i="5"/>
  <c r="BZ46" i="5"/>
  <c r="BZ20" i="5"/>
  <c r="BZ41" i="5"/>
  <c r="BZ25" i="5"/>
  <c r="BZ16" i="5"/>
  <c r="BZ34" i="4"/>
  <c r="BZ122" i="5"/>
  <c r="BZ100" i="5"/>
  <c r="BZ55" i="5"/>
  <c r="BZ131" i="5"/>
  <c r="BZ59" i="4"/>
  <c r="BZ54" i="5"/>
  <c r="BZ74" i="4"/>
  <c r="BZ59" i="5"/>
  <c r="BZ73" i="5"/>
  <c r="BZ125" i="5"/>
  <c r="BZ53" i="5"/>
  <c r="BZ144" i="5"/>
  <c r="BZ109" i="5"/>
  <c r="BZ10" i="4"/>
  <c r="BZ91" i="4"/>
  <c r="BZ76" i="4"/>
  <c r="BZ130" i="5"/>
  <c r="BZ102" i="5"/>
  <c r="BZ113" i="5"/>
  <c r="BZ127" i="5"/>
  <c r="BZ6" i="4"/>
  <c r="BZ50" i="5"/>
  <c r="BZ49" i="5"/>
  <c r="BZ85" i="4"/>
  <c r="BZ53" i="4"/>
  <c r="BZ28" i="4"/>
  <c r="BZ8" i="4"/>
  <c r="BZ55" i="4"/>
  <c r="BZ49" i="4"/>
  <c r="BZ78" i="4"/>
  <c r="BZ63" i="4"/>
  <c r="BZ115" i="5"/>
  <c r="BZ123" i="5"/>
  <c r="BZ141" i="5"/>
  <c r="BZ48" i="5"/>
  <c r="BZ112" i="5"/>
  <c r="BZ69" i="5"/>
  <c r="BZ73" i="4"/>
  <c r="BZ132" i="5"/>
  <c r="BZ117" i="5"/>
  <c r="BZ114" i="5"/>
  <c r="BZ103" i="5"/>
  <c r="BZ64" i="5"/>
  <c r="BZ67" i="5"/>
  <c r="BZ65" i="5"/>
  <c r="BZ135" i="5"/>
  <c r="BZ137" i="5"/>
  <c r="BZ18" i="4"/>
  <c r="BZ140" i="5"/>
  <c r="BZ91" i="5"/>
  <c r="BZ77" i="5"/>
  <c r="BZ5" i="5"/>
  <c r="BZ90" i="4"/>
  <c r="BZ84" i="4"/>
  <c r="BZ129" i="5"/>
  <c r="BZ58" i="5"/>
  <c r="BZ124" i="5"/>
  <c r="BZ126" i="5"/>
  <c r="BZ61" i="5"/>
  <c r="BZ66" i="5"/>
  <c r="BZ136" i="5"/>
  <c r="BZ145" i="5"/>
  <c r="BZ147" i="5"/>
  <c r="BZ146" i="5"/>
  <c r="BZ76" i="5"/>
  <c r="BZ71" i="5"/>
  <c r="BZ87" i="4"/>
  <c r="BZ105" i="5"/>
  <c r="BZ56" i="5"/>
  <c r="BZ48" i="4"/>
  <c r="BZ61" i="4"/>
  <c r="BZ143" i="5"/>
  <c r="BZ72" i="5"/>
  <c r="BZ138" i="5"/>
  <c r="BZ108" i="5"/>
  <c r="BZ118" i="5"/>
  <c r="BZ60" i="5"/>
  <c r="BZ83" i="4"/>
  <c r="BZ80" i="4"/>
  <c r="BZ54" i="4"/>
  <c r="BZ139" i="5"/>
  <c r="BZ121" i="5"/>
  <c r="BZ142" i="5"/>
  <c r="BZ26" i="4"/>
  <c r="BZ14" i="4"/>
  <c r="BZ89" i="4"/>
  <c r="BZ64" i="4"/>
  <c r="BZ116" i="5"/>
  <c r="BZ148" i="5"/>
  <c r="BZ111" i="5"/>
  <c r="BZ69" i="4"/>
  <c r="BZ88" i="5"/>
  <c r="BZ52" i="4"/>
  <c r="BZ62" i="4"/>
  <c r="BZ81" i="4"/>
  <c r="BZ77" i="4"/>
  <c r="BZ88" i="4"/>
  <c r="BZ66" i="4"/>
  <c r="BZ82" i="4"/>
  <c r="BZ84" i="5"/>
  <c r="BZ41" i="4"/>
  <c r="BZ87" i="5"/>
  <c r="BZ24" i="4"/>
  <c r="BZ11" i="4"/>
  <c r="BZ50" i="4"/>
  <c r="BZ57" i="4"/>
  <c r="BZ86" i="4"/>
  <c r="BZ60" i="4"/>
  <c r="BZ79" i="4"/>
  <c r="BZ67" i="4"/>
  <c r="BZ56" i="4"/>
  <c r="BZ71" i="4"/>
  <c r="BZ70" i="4"/>
  <c r="BZ72" i="4"/>
  <c r="BZ75" i="4"/>
  <c r="BZ81" i="5"/>
  <c r="BZ25" i="4"/>
  <c r="BZ78" i="5"/>
  <c r="BZ17" i="4"/>
  <c r="BZ15" i="4"/>
  <c r="BZ80" i="5"/>
  <c r="BZ74" i="5"/>
  <c r="BZ27" i="4"/>
  <c r="BZ9" i="4"/>
  <c r="BZ12" i="4"/>
  <c r="BZ16" i="4"/>
  <c r="BZ85" i="5"/>
  <c r="BZ42" i="4"/>
  <c r="BZ39" i="4"/>
  <c r="BZ86" i="5"/>
  <c r="BZ46" i="4"/>
  <c r="BZ22" i="4"/>
  <c r="BZ35" i="4"/>
  <c r="BZ37" i="4"/>
  <c r="BZ20" i="4"/>
  <c r="BZ21" i="4"/>
  <c r="BZ83" i="5"/>
  <c r="BZ36" i="4"/>
  <c r="BZ23" i="4"/>
  <c r="BZ90" i="5"/>
  <c r="BZ31" i="4"/>
  <c r="BZ38" i="4"/>
  <c r="BZ43" i="4"/>
  <c r="BZ75" i="5"/>
  <c r="BZ32" i="4"/>
  <c r="BZ40" i="4"/>
  <c r="BZ30" i="4"/>
  <c r="BZ89" i="5"/>
  <c r="BZ79" i="5"/>
  <c r="BZ45" i="4"/>
  <c r="BZ44" i="4"/>
  <c r="BZ29" i="4"/>
  <c r="BZ33" i="4"/>
  <c r="BZ82" i="5"/>
  <c r="V69" i="4"/>
  <c r="V73" i="4"/>
  <c r="V71" i="4"/>
  <c r="V79" i="4"/>
  <c r="V81" i="4"/>
  <c r="V67" i="4"/>
  <c r="BE103" i="5" l="1"/>
  <c r="BE99" i="5"/>
  <c r="BF109" i="5"/>
  <c r="BE98" i="5"/>
  <c r="BD126" i="5"/>
  <c r="BD93" i="5"/>
  <c r="BF102" i="5"/>
  <c r="BD113" i="5"/>
  <c r="BG120" i="5"/>
  <c r="BD131" i="5"/>
  <c r="BD99" i="5"/>
  <c r="BF117" i="5"/>
  <c r="BD105" i="5"/>
  <c r="BF138" i="5"/>
  <c r="BD116" i="5"/>
  <c r="BD102" i="5"/>
  <c r="BF113" i="5"/>
  <c r="BD147" i="5"/>
  <c r="BE146" i="5"/>
  <c r="BD118" i="5"/>
  <c r="BF108" i="5"/>
  <c r="BG133" i="5"/>
  <c r="BE118" i="5"/>
  <c r="BD114" i="5"/>
  <c r="BD111" i="5"/>
  <c r="BF125" i="5"/>
  <c r="BD124" i="5"/>
  <c r="BF46" i="5"/>
  <c r="BD112" i="5"/>
  <c r="BF133" i="5"/>
  <c r="BE51" i="5"/>
  <c r="BF71" i="5"/>
  <c r="BF56" i="5"/>
  <c r="BG147" i="5"/>
  <c r="BE132" i="5"/>
  <c r="BE120" i="5"/>
  <c r="BF142" i="5"/>
  <c r="BE136" i="5"/>
  <c r="BG121" i="5"/>
  <c r="BF122" i="5"/>
  <c r="BG137" i="5"/>
  <c r="BG125" i="5"/>
  <c r="BH138" i="5"/>
  <c r="BF140" i="5"/>
  <c r="BG129" i="5"/>
  <c r="BD142" i="5"/>
  <c r="BH145" i="5"/>
  <c r="BE96" i="5"/>
  <c r="BE104" i="5"/>
  <c r="BD108" i="5"/>
  <c r="BG130" i="5"/>
  <c r="BF141" i="5"/>
  <c r="BF131" i="5"/>
  <c r="BF115" i="5"/>
  <c r="BE124" i="5"/>
  <c r="BD133" i="5"/>
  <c r="BG144" i="5"/>
  <c r="BH139" i="5"/>
  <c r="BF134" i="5"/>
  <c r="BD144" i="5"/>
  <c r="BF62" i="5"/>
  <c r="BD97" i="5"/>
  <c r="BF103" i="5"/>
  <c r="BF111" i="5"/>
  <c r="BD103" i="5"/>
  <c r="BE111" i="5"/>
  <c r="BD107" i="5"/>
  <c r="BE127" i="5"/>
  <c r="BF132" i="5"/>
  <c r="BD120" i="5"/>
  <c r="BE126" i="5"/>
  <c r="BE133" i="5"/>
  <c r="BD145" i="5"/>
  <c r="BE140" i="5"/>
  <c r="BH137" i="5"/>
  <c r="BF146" i="5"/>
  <c r="BD91" i="5"/>
  <c r="BE107" i="5"/>
  <c r="BF112" i="5"/>
  <c r="BG128" i="5"/>
  <c r="BD101" i="5"/>
  <c r="BF107" i="5"/>
  <c r="BG122" i="5"/>
  <c r="BE106" i="5"/>
  <c r="BD125" i="5"/>
  <c r="BE110" i="5"/>
  <c r="BE131" i="5"/>
  <c r="BE115" i="5"/>
  <c r="BD122" i="5"/>
  <c r="BG138" i="5"/>
  <c r="BE135" i="5"/>
  <c r="BF147" i="5"/>
  <c r="BD143" i="5"/>
  <c r="BD141" i="5"/>
  <c r="BD10" i="5"/>
  <c r="BG79" i="5"/>
  <c r="BE112" i="5"/>
  <c r="BD96" i="5"/>
  <c r="BE102" i="5"/>
  <c r="BD121" i="5"/>
  <c r="BE105" i="5"/>
  <c r="BD127" i="5"/>
  <c r="BF119" i="5"/>
  <c r="BG127" i="5"/>
  <c r="BD135" i="5"/>
  <c r="BF120" i="5"/>
  <c r="BH146" i="5"/>
  <c r="BE145" i="5"/>
  <c r="BD138" i="5"/>
  <c r="BG148" i="5"/>
  <c r="BE68" i="5"/>
  <c r="BD104" i="5"/>
  <c r="BE101" i="5"/>
  <c r="BD109" i="5"/>
  <c r="BF106" i="5"/>
  <c r="BD119" i="5"/>
  <c r="BD132" i="5"/>
  <c r="BF129" i="5"/>
  <c r="BG131" i="5"/>
  <c r="BE122" i="5"/>
  <c r="BF128" i="5"/>
  <c r="BH141" i="5"/>
  <c r="BD136" i="5"/>
  <c r="BG145" i="5"/>
  <c r="BG143" i="5"/>
  <c r="BF68" i="5"/>
  <c r="BD61" i="5"/>
  <c r="BF77" i="5"/>
  <c r="BE58" i="5"/>
  <c r="BD82" i="5"/>
  <c r="BE80" i="5"/>
  <c r="BD64" i="5"/>
  <c r="BF87" i="5"/>
  <c r="BE54" i="5"/>
  <c r="BG74" i="5"/>
  <c r="BF80" i="5"/>
  <c r="BE88" i="5"/>
  <c r="BE57" i="5"/>
  <c r="BF76" i="5"/>
  <c r="BF82" i="5"/>
  <c r="BD34" i="5"/>
  <c r="BD58" i="5"/>
  <c r="BF73" i="5"/>
  <c r="BG81" i="5"/>
  <c r="BE147" i="5"/>
  <c r="BG139" i="5"/>
  <c r="BG142" i="5"/>
  <c r="BF148" i="5"/>
  <c r="BG132" i="5"/>
  <c r="BD52" i="5"/>
  <c r="BF61" i="5"/>
  <c r="BD70" i="5"/>
  <c r="BE77" i="5"/>
  <c r="BE90" i="5"/>
  <c r="BF135" i="5"/>
  <c r="BH144" i="5"/>
  <c r="BE148" i="5"/>
  <c r="BF136" i="5"/>
  <c r="BE141" i="5"/>
  <c r="BE64" i="5"/>
  <c r="BE84" i="5"/>
  <c r="BF75" i="5"/>
  <c r="BF79" i="5"/>
  <c r="BE31" i="5"/>
  <c r="BE9" i="5"/>
  <c r="BD16" i="5"/>
  <c r="BE17" i="5"/>
  <c r="BE16" i="5"/>
  <c r="BD84" i="5"/>
  <c r="BE28" i="5"/>
  <c r="BE94" i="5"/>
  <c r="BE97" i="5"/>
  <c r="BE93" i="5"/>
  <c r="BE100" i="5"/>
  <c r="BE95" i="5"/>
  <c r="BF110" i="5"/>
  <c r="BE114" i="5"/>
  <c r="BF114" i="5"/>
  <c r="BD110" i="5"/>
  <c r="BD115" i="5"/>
  <c r="BE123" i="5"/>
  <c r="BF121" i="5"/>
  <c r="BF118" i="5"/>
  <c r="BD139" i="5"/>
  <c r="BD128" i="5"/>
  <c r="BE128" i="5"/>
  <c r="BF124" i="5"/>
  <c r="BE139" i="5"/>
  <c r="BD137" i="5"/>
  <c r="BG135" i="5"/>
  <c r="BD148" i="5"/>
  <c r="BF145" i="5"/>
  <c r="BH142" i="5"/>
  <c r="BE138" i="5"/>
  <c r="BG134" i="5"/>
  <c r="BH148" i="5"/>
  <c r="BF16" i="5"/>
  <c r="BF31" i="5"/>
  <c r="BE109" i="5"/>
  <c r="BD98" i="5"/>
  <c r="BD100" i="5"/>
  <c r="BE116" i="5"/>
  <c r="BF104" i="5"/>
  <c r="BG124" i="5"/>
  <c r="BF116" i="5"/>
  <c r="BE121" i="5"/>
  <c r="BE113" i="5"/>
  <c r="BE119" i="5"/>
  <c r="BE125" i="5"/>
  <c r="BF123" i="5"/>
  <c r="BG119" i="5"/>
  <c r="BE144" i="5"/>
  <c r="BD130" i="5"/>
  <c r="BE130" i="5"/>
  <c r="BF126" i="5"/>
  <c r="BG141" i="5"/>
  <c r="BF139" i="5"/>
  <c r="BE137" i="5"/>
  <c r="BD134" i="5"/>
  <c r="BH147" i="5"/>
  <c r="BE143" i="5"/>
  <c r="BG140" i="5"/>
  <c r="BG136" i="5"/>
  <c r="BF15" i="5"/>
  <c r="BD18" i="5"/>
  <c r="BD25" i="5"/>
  <c r="BF105" i="5"/>
  <c r="BE108" i="5"/>
  <c r="BD106" i="5"/>
  <c r="BD95" i="5"/>
  <c r="BD94" i="5"/>
  <c r="BF101" i="5"/>
  <c r="BG146" i="5"/>
  <c r="BD129" i="5"/>
  <c r="BG126" i="5"/>
  <c r="BD123" i="5"/>
  <c r="BE129" i="5"/>
  <c r="BF127" i="5"/>
  <c r="BG123" i="5"/>
  <c r="BD117" i="5"/>
  <c r="BE117" i="5"/>
  <c r="BH143" i="5"/>
  <c r="BF130" i="5"/>
  <c r="BF144" i="5"/>
  <c r="BE142" i="5"/>
  <c r="BD140" i="5"/>
  <c r="BF137" i="5"/>
  <c r="BE134" i="5"/>
  <c r="BD146" i="5"/>
  <c r="BF143" i="5"/>
  <c r="BE13" i="5"/>
  <c r="BD6" i="5"/>
  <c r="BD4" i="5"/>
  <c r="BC4" i="5" s="1"/>
  <c r="BD30" i="5"/>
  <c r="BD20" i="5"/>
  <c r="BF30" i="5"/>
  <c r="BE18" i="5"/>
  <c r="BE41" i="5"/>
  <c r="BF18" i="5"/>
  <c r="BE14" i="5"/>
  <c r="BE8" i="5"/>
  <c r="BE11" i="5"/>
  <c r="BC11" i="5" s="1"/>
  <c r="BE6" i="5"/>
  <c r="BE10" i="5"/>
  <c r="BF17" i="5"/>
  <c r="BE12" i="5"/>
  <c r="BD15" i="5"/>
  <c r="BD17" i="5"/>
  <c r="BD8" i="5"/>
  <c r="BE15" i="5"/>
  <c r="BD9" i="5"/>
  <c r="BD12" i="5"/>
  <c r="BD14" i="5"/>
  <c r="BD13" i="5"/>
  <c r="BF14" i="5"/>
  <c r="BF33" i="5"/>
  <c r="BE36" i="5"/>
  <c r="BF85" i="5"/>
  <c r="BD24" i="5"/>
  <c r="BE37" i="5"/>
  <c r="BD57" i="5"/>
  <c r="BE53" i="5"/>
  <c r="BE72" i="5"/>
  <c r="BD66" i="5"/>
  <c r="BF69" i="5"/>
  <c r="BE63" i="5"/>
  <c r="BG84" i="5"/>
  <c r="BG76" i="5"/>
  <c r="BE62" i="5"/>
  <c r="BD51" i="5"/>
  <c r="BD72" i="5"/>
  <c r="BD81" i="5"/>
  <c r="BE83" i="5"/>
  <c r="BG87" i="5"/>
  <c r="BD74" i="5"/>
  <c r="BE85" i="5"/>
  <c r="BD86" i="5"/>
  <c r="BD33" i="5"/>
  <c r="BE24" i="5"/>
  <c r="BE46" i="5"/>
  <c r="BD39" i="5"/>
  <c r="BE32" i="5"/>
  <c r="BD36" i="5"/>
  <c r="BD43" i="5"/>
  <c r="BE48" i="5"/>
  <c r="BD69" i="5"/>
  <c r="BE56" i="5"/>
  <c r="BD48" i="5"/>
  <c r="BE69" i="5"/>
  <c r="BD71" i="5"/>
  <c r="BF66" i="5"/>
  <c r="BE60" i="5"/>
  <c r="BF60" i="5"/>
  <c r="BF65" i="5"/>
  <c r="BD55" i="5"/>
  <c r="BG78" i="5"/>
  <c r="BD83" i="5"/>
  <c r="BG85" i="5"/>
  <c r="BG90" i="5"/>
  <c r="BD76" i="5"/>
  <c r="BE87" i="5"/>
  <c r="BD88" i="5"/>
  <c r="BF29" i="5"/>
  <c r="BD23" i="5"/>
  <c r="BD29" i="5"/>
  <c r="BE40" i="5"/>
  <c r="BE22" i="5"/>
  <c r="BF40" i="5"/>
  <c r="BF43" i="5"/>
  <c r="BF67" i="5"/>
  <c r="BE50" i="5"/>
  <c r="BF58" i="5"/>
  <c r="BD54" i="5"/>
  <c r="BF72" i="5"/>
  <c r="BF74" i="5"/>
  <c r="BD68" i="5"/>
  <c r="BF63" i="5"/>
  <c r="BD62" i="5"/>
  <c r="BD67" i="5"/>
  <c r="BD56" i="5"/>
  <c r="BG82" i="5"/>
  <c r="BD85" i="5"/>
  <c r="BD87" i="5"/>
  <c r="BG75" i="5"/>
  <c r="BD78" i="5"/>
  <c r="BE89" i="5"/>
  <c r="BD90" i="5"/>
  <c r="BE25" i="5"/>
  <c r="BD31" i="5"/>
  <c r="BD27" i="5"/>
  <c r="BE23" i="5"/>
  <c r="BD22" i="5"/>
  <c r="BE30" i="5"/>
  <c r="BF42" i="5"/>
  <c r="BD37" i="5"/>
  <c r="BF59" i="5"/>
  <c r="BE55" i="5"/>
  <c r="BD49" i="5"/>
  <c r="BD59" i="5"/>
  <c r="BE74" i="5"/>
  <c r="BE76" i="5"/>
  <c r="BE71" i="5"/>
  <c r="BD65" i="5"/>
  <c r="BE65" i="5"/>
  <c r="BE70" i="5"/>
  <c r="BE59" i="5"/>
  <c r="BF78" i="5"/>
  <c r="BG86" i="5"/>
  <c r="BG91" i="5"/>
  <c r="BG77" i="5"/>
  <c r="BD80" i="5"/>
  <c r="BE91" i="5"/>
  <c r="BE86" i="5"/>
  <c r="BE44" i="5"/>
  <c r="BE33" i="5"/>
  <c r="BD28" i="5"/>
  <c r="BE27" i="5"/>
  <c r="BF28" i="5"/>
  <c r="BD21" i="5"/>
  <c r="BF44" i="5"/>
  <c r="BG41" i="5"/>
  <c r="BD50" i="5"/>
  <c r="BD53" i="5"/>
  <c r="BF86" i="5"/>
  <c r="BE61" i="5"/>
  <c r="BD63" i="5"/>
  <c r="BG88" i="5"/>
  <c r="BD77" i="5"/>
  <c r="BD73" i="5"/>
  <c r="BE73" i="5"/>
  <c r="BE78" i="5"/>
  <c r="BE67" i="5"/>
  <c r="BF84" i="5"/>
  <c r="BE79" i="5"/>
  <c r="BF81" i="5"/>
  <c r="BG83" i="5"/>
  <c r="BF88" i="5"/>
  <c r="BF89" i="5"/>
  <c r="BF90" i="5"/>
  <c r="BE29" i="5"/>
  <c r="BE21" i="5"/>
  <c r="BE34" i="5"/>
  <c r="BF34" i="5"/>
  <c r="BE38" i="5"/>
  <c r="BD32" i="5"/>
  <c r="BG40" i="5"/>
  <c r="BE52" i="5"/>
  <c r="BF57" i="5"/>
  <c r="BE49" i="5"/>
  <c r="BF64" i="5"/>
  <c r="BE66" i="5"/>
  <c r="BD60" i="5"/>
  <c r="BG80" i="5"/>
  <c r="BD75" i="5"/>
  <c r="BE75" i="5"/>
  <c r="BE82" i="5"/>
  <c r="BF70" i="5"/>
  <c r="BD79" i="5"/>
  <c r="BE81" i="5"/>
  <c r="BF83" i="5"/>
  <c r="BD89" i="5"/>
  <c r="BG89" i="5"/>
  <c r="BF32" i="5"/>
  <c r="BE20" i="5"/>
  <c r="BD40" i="5"/>
  <c r="BD38" i="5"/>
  <c r="BE42" i="5"/>
  <c r="BD35" i="5"/>
  <c r="BD41" i="5"/>
  <c r="BD5" i="5"/>
  <c r="BE5" i="5"/>
  <c r="BD45" i="5"/>
  <c r="BG43" i="5"/>
  <c r="BE43" i="5"/>
  <c r="BD44" i="5"/>
  <c r="BE45" i="5"/>
  <c r="BD46" i="5"/>
  <c r="BD26" i="5"/>
  <c r="BE26" i="5"/>
  <c r="BF36" i="5"/>
  <c r="BF39" i="5"/>
  <c r="BE35" i="5"/>
  <c r="BF37" i="5"/>
  <c r="BE39" i="5"/>
  <c r="BG42" i="5"/>
  <c r="BF45" i="5"/>
  <c r="BG44" i="5"/>
  <c r="BF38" i="5"/>
  <c r="BG45" i="5"/>
  <c r="BG46" i="5"/>
  <c r="BF41" i="5"/>
  <c r="BD42" i="5"/>
  <c r="X67" i="4"/>
  <c r="X79" i="4"/>
  <c r="X71" i="4"/>
  <c r="AB58" i="16"/>
  <c r="AC58" i="16"/>
  <c r="AD58" i="16"/>
  <c r="BC99" i="5" l="1"/>
  <c r="BC8" i="5"/>
  <c r="BC98" i="5"/>
  <c r="BC133" i="5"/>
  <c r="BC93" i="5"/>
  <c r="BC118" i="5"/>
  <c r="BC102" i="5"/>
  <c r="BC51" i="5"/>
  <c r="BC113" i="5"/>
  <c r="BC108" i="5"/>
  <c r="BC97" i="5"/>
  <c r="BC52" i="5"/>
  <c r="BC144" i="5"/>
  <c r="BC132" i="5"/>
  <c r="BC106" i="5"/>
  <c r="BC146" i="5"/>
  <c r="BC9" i="5"/>
  <c r="BC131" i="5"/>
  <c r="BC105" i="5"/>
  <c r="BC143" i="5"/>
  <c r="BC138" i="5"/>
  <c r="BC127" i="5"/>
  <c r="BC104" i="5"/>
  <c r="BC79" i="5"/>
  <c r="BC64" i="5"/>
  <c r="BC129" i="5"/>
  <c r="BC116" i="5"/>
  <c r="BC96" i="5"/>
  <c r="BC111" i="5"/>
  <c r="BC122" i="5"/>
  <c r="BC101" i="5"/>
  <c r="BC109" i="5"/>
  <c r="BC112" i="5"/>
  <c r="BC103" i="5"/>
  <c r="BC147" i="5"/>
  <c r="BC125" i="5"/>
  <c r="BC145" i="5"/>
  <c r="BC140" i="5"/>
  <c r="BC121" i="5"/>
  <c r="BC25" i="5"/>
  <c r="BC16" i="5"/>
  <c r="BC107" i="5"/>
  <c r="BC120" i="5"/>
  <c r="BC115" i="5"/>
  <c r="BC124" i="5"/>
  <c r="BC61" i="5"/>
  <c r="BC20" i="5"/>
  <c r="BC10" i="5"/>
  <c r="BC136" i="5"/>
  <c r="BC54" i="5"/>
  <c r="BC58" i="5"/>
  <c r="BC128" i="5"/>
  <c r="BC114" i="5"/>
  <c r="BC68" i="5"/>
  <c r="BC141" i="5"/>
  <c r="BC135" i="5"/>
  <c r="BC81" i="5"/>
  <c r="BC134" i="5"/>
  <c r="BC119" i="5"/>
  <c r="BC110" i="5"/>
  <c r="BC94" i="5"/>
  <c r="BC130" i="5"/>
  <c r="BC13" i="5"/>
  <c r="BC100" i="5"/>
  <c r="BC23" i="5"/>
  <c r="BC6" i="5"/>
  <c r="BC126" i="5"/>
  <c r="BC31" i="5"/>
  <c r="BC71" i="5"/>
  <c r="BC15" i="5"/>
  <c r="BC59" i="5"/>
  <c r="BC137" i="5"/>
  <c r="BC123" i="5"/>
  <c r="BC148" i="5"/>
  <c r="BC95" i="5"/>
  <c r="BC84" i="5"/>
  <c r="BC30" i="5"/>
  <c r="BC78" i="5"/>
  <c r="BC17" i="5"/>
  <c r="BC117" i="5"/>
  <c r="BC139" i="5"/>
  <c r="BC142" i="5"/>
  <c r="BC66" i="5"/>
  <c r="BC87" i="5"/>
  <c r="BC22" i="5"/>
  <c r="BC24" i="5"/>
  <c r="BC12" i="5"/>
  <c r="BC36" i="5"/>
  <c r="BC14" i="5"/>
  <c r="BC18" i="5"/>
  <c r="BC91" i="5"/>
  <c r="BC63" i="5"/>
  <c r="BC62" i="5"/>
  <c r="BC75" i="5"/>
  <c r="BC72" i="5"/>
  <c r="BC48" i="5"/>
  <c r="BC49" i="5"/>
  <c r="BC77" i="5"/>
  <c r="BC33" i="5"/>
  <c r="BC53" i="5"/>
  <c r="BC74" i="5"/>
  <c r="BC76" i="5"/>
  <c r="BC85" i="5"/>
  <c r="BC65" i="5"/>
  <c r="BC27" i="5"/>
  <c r="BC60" i="5"/>
  <c r="BC40" i="5"/>
  <c r="BC21" i="5"/>
  <c r="BC90" i="5"/>
  <c r="BC50" i="5"/>
  <c r="BC56" i="5"/>
  <c r="BC37" i="5"/>
  <c r="BC5" i="5"/>
  <c r="BC34" i="5"/>
  <c r="BC57" i="5"/>
  <c r="BC67" i="5"/>
  <c r="BC44" i="5"/>
  <c r="BC35" i="5"/>
  <c r="BC89" i="5"/>
  <c r="BC80" i="5"/>
  <c r="BC32" i="5"/>
  <c r="BC88" i="5"/>
  <c r="BC73" i="5"/>
  <c r="BC55" i="5"/>
  <c r="BC29" i="5"/>
  <c r="BC83" i="5"/>
  <c r="BC69" i="5"/>
  <c r="BC41" i="5"/>
  <c r="BC70" i="5"/>
  <c r="BC38" i="5"/>
  <c r="BC82" i="5"/>
  <c r="BC86" i="5"/>
  <c r="BC28" i="5"/>
  <c r="BC43" i="5"/>
  <c r="BC46" i="5"/>
  <c r="BC26" i="5"/>
  <c r="BC42" i="5"/>
  <c r="BC45" i="5"/>
  <c r="BC39" i="5"/>
  <c r="AC60" i="16"/>
  <c r="AG60" i="16" s="1"/>
  <c r="AB59" i="16"/>
  <c r="AB60" i="16"/>
  <c r="AB61" i="16"/>
  <c r="AB62" i="16"/>
  <c r="AB63" i="16"/>
  <c r="AD60" i="16"/>
  <c r="AD61" i="16"/>
  <c r="AD62" i="16"/>
  <c r="AD63" i="16"/>
  <c r="AD59" i="16"/>
  <c r="AC61" i="16"/>
  <c r="AG61" i="16" s="1"/>
  <c r="AC62" i="16"/>
  <c r="AG62" i="16" s="1"/>
  <c r="AC63" i="16"/>
  <c r="AG63" i="16" s="1"/>
  <c r="AC59" i="16"/>
  <c r="AG59" i="16" s="1"/>
  <c r="W4" i="3"/>
  <c r="W5" i="3"/>
  <c r="W6" i="3"/>
  <c r="U55" i="13"/>
  <c r="U51" i="13"/>
  <c r="U47" i="13"/>
  <c r="U43" i="13"/>
  <c r="R47" i="13"/>
  <c r="R48" i="13"/>
  <c r="R44" i="13" s="1"/>
  <c r="R49" i="13"/>
  <c r="R45" i="13" s="1"/>
  <c r="R50" i="13"/>
  <c r="R51" i="13"/>
  <c r="R52" i="13"/>
  <c r="R53" i="13"/>
  <c r="R54" i="13"/>
  <c r="R55" i="13"/>
  <c r="R56" i="13"/>
  <c r="R57" i="13"/>
  <c r="R58" i="13"/>
  <c r="T55" i="13" l="1"/>
  <c r="T51" i="13"/>
  <c r="R43" i="13"/>
  <c r="T49" i="13"/>
  <c r="T53" i="13"/>
  <c r="R46" i="13"/>
  <c r="T43" i="13" s="1"/>
  <c r="T47" i="13"/>
  <c r="T57" i="13"/>
  <c r="F25" i="13"/>
  <c r="F24" i="13"/>
  <c r="F23" i="13"/>
  <c r="F22" i="13"/>
  <c r="V51" i="13" l="1"/>
  <c r="BS132" i="5" s="1"/>
  <c r="BM132" i="5" s="1"/>
  <c r="V55" i="13"/>
  <c r="BS122" i="5" s="1"/>
  <c r="BM122" i="5" s="1"/>
  <c r="V47" i="13"/>
  <c r="BS147" i="5" s="1"/>
  <c r="BM147" i="5" s="1"/>
  <c r="T45" i="13"/>
  <c r="V43" i="13" s="1"/>
  <c r="BQ137" i="5" s="1"/>
  <c r="BK137" i="5" s="1"/>
  <c r="Y5" i="16"/>
  <c r="AE52" i="16"/>
  <c r="AE53" i="16"/>
  <c r="AE54" i="16"/>
  <c r="AE55" i="16"/>
  <c r="AE51" i="16"/>
  <c r="S6" i="16"/>
  <c r="S7" i="16"/>
  <c r="S8" i="16"/>
  <c r="S9" i="16"/>
  <c r="BR70" i="3" l="1"/>
  <c r="BR65" i="3"/>
  <c r="BR68" i="3"/>
  <c r="BQ52" i="3"/>
  <c r="BP77" i="3"/>
  <c r="BS142" i="3"/>
  <c r="BR131" i="3"/>
  <c r="BQ105" i="3"/>
  <c r="BR81" i="3"/>
  <c r="BP136" i="3"/>
  <c r="BQ91" i="3"/>
  <c r="BP71" i="3"/>
  <c r="BP99" i="3"/>
  <c r="BQ112" i="3"/>
  <c r="BR60" i="3"/>
  <c r="BQ5" i="3"/>
  <c r="BR124" i="3"/>
  <c r="BQ23" i="3"/>
  <c r="BS146" i="3"/>
  <c r="BS76" i="3"/>
  <c r="BP12" i="3"/>
  <c r="BR145" i="3"/>
  <c r="BP111" i="3"/>
  <c r="BQ134" i="3"/>
  <c r="BS122" i="3"/>
  <c r="BR104" i="3"/>
  <c r="BS125" i="3"/>
  <c r="BP100" i="3"/>
  <c r="BR75" i="3"/>
  <c r="BS126" i="3"/>
  <c r="BQ75" i="3"/>
  <c r="BS130" i="3"/>
  <c r="BS84" i="3"/>
  <c r="BR16" i="3"/>
  <c r="BS124" i="3"/>
  <c r="BR108" i="3"/>
  <c r="BQ51" i="3"/>
  <c r="BQ21" i="3"/>
  <c r="BP37" i="3"/>
  <c r="BQ17" i="3"/>
  <c r="BP115" i="3"/>
  <c r="BP69" i="3"/>
  <c r="BP127" i="3"/>
  <c r="BP10" i="3"/>
  <c r="BR112" i="3"/>
  <c r="BQ115" i="3"/>
  <c r="BR136" i="3"/>
  <c r="BQ73" i="3"/>
  <c r="BQ27" i="3"/>
  <c r="BR132" i="3"/>
  <c r="BQ108" i="3"/>
  <c r="BQ69" i="3"/>
  <c r="BP27" i="3"/>
  <c r="BR106" i="3"/>
  <c r="BS43" i="3"/>
  <c r="BS120" i="3"/>
  <c r="BQ61" i="3"/>
  <c r="BP26" i="3"/>
  <c r="BP123" i="3"/>
  <c r="BP5" i="3"/>
  <c r="BQ119" i="3"/>
  <c r="BR118" i="3"/>
  <c r="BQ98" i="3"/>
  <c r="BR117" i="3"/>
  <c r="BR30" i="3"/>
  <c r="BR103" i="3"/>
  <c r="BQ109" i="3"/>
  <c r="BS141" i="3"/>
  <c r="BT141" i="3"/>
  <c r="BR89" i="3"/>
  <c r="BR29" i="3"/>
  <c r="BQ16" i="3"/>
  <c r="BP60" i="3"/>
  <c r="BP30" i="3"/>
  <c r="BS91" i="3"/>
  <c r="BR101" i="3"/>
  <c r="BP13" i="3"/>
  <c r="BP54" i="3"/>
  <c r="BS136" i="3"/>
  <c r="BR61" i="3"/>
  <c r="BQ114" i="3"/>
  <c r="BR114" i="3"/>
  <c r="BR144" i="3"/>
  <c r="BQ62" i="3"/>
  <c r="BP95" i="3"/>
  <c r="BQ60" i="3"/>
  <c r="BP64" i="3"/>
  <c r="BP14" i="3"/>
  <c r="BP58" i="3"/>
  <c r="BP73" i="3"/>
  <c r="BQ87" i="3"/>
  <c r="BP59" i="3"/>
  <c r="BR69" i="3"/>
  <c r="BR45" i="3"/>
  <c r="BQ140" i="3"/>
  <c r="BQ132" i="3"/>
  <c r="BQ11" i="3"/>
  <c r="BQ33" i="3"/>
  <c r="BT144" i="3"/>
  <c r="BR105" i="3"/>
  <c r="BS75" i="3"/>
  <c r="BQ120" i="3"/>
  <c r="BP128" i="3"/>
  <c r="BQ48" i="3"/>
  <c r="BP98" i="3"/>
  <c r="BQ13" i="3"/>
  <c r="BQ118" i="3"/>
  <c r="BT145" i="3"/>
  <c r="BQ96" i="3"/>
  <c r="BR127" i="3"/>
  <c r="BQ38" i="3"/>
  <c r="BS131" i="3"/>
  <c r="BR36" i="3"/>
  <c r="BP11" i="3"/>
  <c r="BP113" i="3"/>
  <c r="BQ89" i="3"/>
  <c r="BS41" i="3"/>
  <c r="BP24" i="3"/>
  <c r="BP148" i="3"/>
  <c r="BR32" i="3"/>
  <c r="BQ43" i="3"/>
  <c r="BQ104" i="3"/>
  <c r="BP22" i="3"/>
  <c r="BP17" i="3"/>
  <c r="BQ4" i="3"/>
  <c r="BP20" i="3"/>
  <c r="BR119" i="3"/>
  <c r="BP108" i="3"/>
  <c r="BP49" i="3"/>
  <c r="BR41" i="3"/>
  <c r="BP83" i="3"/>
  <c r="BP146" i="3"/>
  <c r="BP63" i="3"/>
  <c r="BR67" i="3"/>
  <c r="BQ64" i="3"/>
  <c r="BP118" i="3"/>
  <c r="BT142" i="3"/>
  <c r="BQ25" i="3"/>
  <c r="BS143" i="3"/>
  <c r="BT143" i="3"/>
  <c r="BR63" i="3"/>
  <c r="BR43" i="3"/>
  <c r="BQ85" i="3"/>
  <c r="BR146" i="3"/>
  <c r="BR130" i="3"/>
  <c r="BS147" i="3"/>
  <c r="BR80" i="3"/>
  <c r="BQ34" i="3"/>
  <c r="BR79" i="3"/>
  <c r="BR133" i="3"/>
  <c r="BP130" i="3"/>
  <c r="BP124" i="3"/>
  <c r="BQ79" i="3"/>
  <c r="BQ56" i="3"/>
  <c r="BP42" i="3"/>
  <c r="BQ40" i="3"/>
  <c r="BQ123" i="3"/>
  <c r="BR91" i="3"/>
  <c r="BR72" i="3"/>
  <c r="BT139" i="3"/>
  <c r="BR33" i="3"/>
  <c r="BQ70" i="3"/>
  <c r="BQ12" i="3"/>
  <c r="BS81" i="3"/>
  <c r="BQ93" i="3"/>
  <c r="BS78" i="3"/>
  <c r="BP133" i="3"/>
  <c r="BP6" i="3"/>
  <c r="BP134" i="3"/>
  <c r="BQ113" i="3"/>
  <c r="BQ83" i="3"/>
  <c r="BP39" i="3"/>
  <c r="BR84" i="3"/>
  <c r="BR135" i="3"/>
  <c r="BQ144" i="3"/>
  <c r="BQ141" i="3"/>
  <c r="BQ124" i="3"/>
  <c r="BP105" i="3"/>
  <c r="BP132" i="3"/>
  <c r="BQ103" i="3"/>
  <c r="BQ127" i="3"/>
  <c r="BP72" i="3"/>
  <c r="BS86" i="3"/>
  <c r="BS134" i="3"/>
  <c r="BS89" i="3"/>
  <c r="BP117" i="3"/>
  <c r="BR35" i="3"/>
  <c r="BS129" i="3"/>
  <c r="BP46" i="3"/>
  <c r="BP89" i="3"/>
  <c r="BQ37" i="3"/>
  <c r="BQ24" i="3"/>
  <c r="BQ67" i="3"/>
  <c r="BR128" i="3"/>
  <c r="BP114" i="3"/>
  <c r="BS123" i="3"/>
  <c r="BP79" i="3"/>
  <c r="BR141" i="3"/>
  <c r="BP48" i="3"/>
  <c r="BT137" i="3"/>
  <c r="BR14" i="3"/>
  <c r="BP93" i="3"/>
  <c r="BR59" i="3"/>
  <c r="BR113" i="3"/>
  <c r="BR64" i="3"/>
  <c r="BR73" i="3"/>
  <c r="BQ55" i="3"/>
  <c r="BS82" i="3"/>
  <c r="BR31" i="3"/>
  <c r="BQ94" i="3"/>
  <c r="BS77" i="3"/>
  <c r="BR71" i="3"/>
  <c r="BQ99" i="3"/>
  <c r="BQ49" i="3"/>
  <c r="BR34" i="3"/>
  <c r="BP55" i="3"/>
  <c r="BQ97" i="3"/>
  <c r="BR39" i="3"/>
  <c r="BQ65" i="3"/>
  <c r="BS90" i="3"/>
  <c r="BQ71" i="3"/>
  <c r="BS127" i="3"/>
  <c r="BR107" i="3"/>
  <c r="BR115" i="3"/>
  <c r="BS80" i="3"/>
  <c r="BR110" i="3"/>
  <c r="BQ26" i="3"/>
  <c r="BR62" i="3"/>
  <c r="BQ116" i="3"/>
  <c r="BR109" i="3"/>
  <c r="BQ110" i="3"/>
  <c r="BQ54" i="3"/>
  <c r="BS85" i="3"/>
  <c r="BP142" i="3"/>
  <c r="BQ100" i="3"/>
  <c r="BS135" i="3"/>
  <c r="BQ72" i="3"/>
  <c r="BR126" i="3"/>
  <c r="BQ10" i="3"/>
  <c r="BR86" i="3"/>
  <c r="BT147" i="3"/>
  <c r="BP53" i="3"/>
  <c r="BQ22" i="3"/>
  <c r="BQ35" i="3"/>
  <c r="BR37" i="3"/>
  <c r="BS42" i="3"/>
  <c r="BQ117" i="3"/>
  <c r="BP116" i="3"/>
  <c r="BS88" i="3"/>
  <c r="BQ36" i="3"/>
  <c r="BP68" i="3"/>
  <c r="BS144" i="3"/>
  <c r="BP67" i="3"/>
  <c r="BQ45" i="3"/>
  <c r="BQ107" i="3"/>
  <c r="BP52" i="3"/>
  <c r="BQ39" i="3"/>
  <c r="BP38" i="3"/>
  <c r="BQ84" i="3"/>
  <c r="BQ28" i="3"/>
  <c r="BQ20" i="3"/>
  <c r="BR28" i="3"/>
  <c r="BP137" i="3"/>
  <c r="BR56" i="3"/>
  <c r="BP87" i="3"/>
  <c r="BR77" i="3"/>
  <c r="BP74" i="3"/>
  <c r="BS40" i="3"/>
  <c r="BR116" i="3"/>
  <c r="BT140" i="3"/>
  <c r="BR82" i="3"/>
  <c r="BS132" i="3"/>
  <c r="BR87" i="3"/>
  <c r="BR38" i="3"/>
  <c r="BR58" i="3"/>
  <c r="BQ53" i="3"/>
  <c r="BS87" i="3"/>
  <c r="BQ63" i="3"/>
  <c r="BS79" i="3"/>
  <c r="BS44" i="3"/>
  <c r="BS121" i="3"/>
  <c r="BQ136" i="3"/>
  <c r="BQ130" i="3"/>
  <c r="BR88" i="3"/>
  <c r="BR85" i="3"/>
  <c r="BR147" i="3"/>
  <c r="BP91" i="3"/>
  <c r="BP50" i="3"/>
  <c r="BQ146" i="3"/>
  <c r="BP70" i="3"/>
  <c r="BS45" i="3"/>
  <c r="BR44" i="3"/>
  <c r="BQ86" i="3"/>
  <c r="BP41" i="3"/>
  <c r="BP75" i="3"/>
  <c r="BQ41" i="3"/>
  <c r="BP120" i="3"/>
  <c r="BP65" i="3"/>
  <c r="BQ122" i="3"/>
  <c r="BQ102" i="3"/>
  <c r="BP86" i="3"/>
  <c r="BP104" i="3"/>
  <c r="BS137" i="3"/>
  <c r="BR142" i="3"/>
  <c r="BQ128" i="3"/>
  <c r="BQ9" i="3"/>
  <c r="BR83" i="3"/>
  <c r="BR78" i="3"/>
  <c r="BP96" i="3"/>
  <c r="BQ129" i="3"/>
  <c r="BP88" i="3"/>
  <c r="BQ111" i="3"/>
  <c r="BT148" i="3"/>
  <c r="BR134" i="3"/>
  <c r="BR17" i="3"/>
  <c r="BR90" i="3"/>
  <c r="BR102" i="3"/>
  <c r="BS128" i="3"/>
  <c r="BR148" i="3"/>
  <c r="BR111" i="3"/>
  <c r="BQ131" i="3"/>
  <c r="BP36" i="3"/>
  <c r="BP25" i="3"/>
  <c r="BQ95" i="3"/>
  <c r="BQ6" i="3"/>
  <c r="BP135" i="3"/>
  <c r="BQ18" i="3"/>
  <c r="BR125" i="3"/>
  <c r="BQ135" i="3"/>
  <c r="BQ36" i="4"/>
  <c r="BK36" i="4" s="1"/>
  <c r="BR66" i="3"/>
  <c r="BS83" i="3"/>
  <c r="BR46" i="3"/>
  <c r="BQ68" i="3"/>
  <c r="BQ90" i="3"/>
  <c r="BP90" i="3"/>
  <c r="BS148" i="3"/>
  <c r="BT146" i="3"/>
  <c r="BS133" i="3"/>
  <c r="BQ83" i="4"/>
  <c r="BK83" i="4" s="1"/>
  <c r="BP97" i="3"/>
  <c r="BP18" i="3"/>
  <c r="BS46" i="3"/>
  <c r="BS145" i="3"/>
  <c r="BP26" i="4"/>
  <c r="BJ26" i="4" s="1"/>
  <c r="BQ106" i="3"/>
  <c r="BQ50" i="3"/>
  <c r="BQ66" i="3"/>
  <c r="BQ147" i="3"/>
  <c r="BQ74" i="3"/>
  <c r="BQ112" i="4"/>
  <c r="BK112" i="4" s="1"/>
  <c r="BR135" i="4"/>
  <c r="BL135" i="4" s="1"/>
  <c r="BQ148" i="3"/>
  <c r="BQ133" i="3"/>
  <c r="BP51" i="3"/>
  <c r="BR123" i="3"/>
  <c r="BQ32" i="3"/>
  <c r="BT138" i="3"/>
  <c r="BQ88" i="3"/>
  <c r="BP15" i="3"/>
  <c r="BP32" i="3"/>
  <c r="BR120" i="3"/>
  <c r="BP103" i="3"/>
  <c r="BR76" i="3"/>
  <c r="BQ31" i="3"/>
  <c r="BP121" i="3"/>
  <c r="BP145" i="3"/>
  <c r="BP138" i="3"/>
  <c r="BP81" i="3"/>
  <c r="BQ121" i="3"/>
  <c r="BP101" i="3"/>
  <c r="BP33" i="3"/>
  <c r="BP67" i="4"/>
  <c r="BJ67" i="4" s="1"/>
  <c r="BS145" i="4"/>
  <c r="BM145" i="4" s="1"/>
  <c r="BQ128" i="4"/>
  <c r="BK128" i="4" s="1"/>
  <c r="BQ46" i="3"/>
  <c r="BR15" i="3"/>
  <c r="BP66" i="3"/>
  <c r="BR129" i="3"/>
  <c r="BR57" i="3"/>
  <c r="BR18" i="3"/>
  <c r="BP112" i="3"/>
  <c r="BP21" i="3"/>
  <c r="BQ59" i="3"/>
  <c r="BR139" i="3"/>
  <c r="BS138" i="3"/>
  <c r="BP94" i="3"/>
  <c r="BR138" i="3"/>
  <c r="BP34" i="3"/>
  <c r="BQ81" i="3"/>
  <c r="BP45" i="3"/>
  <c r="BP119" i="3"/>
  <c r="BR40" i="3"/>
  <c r="BR137" i="3"/>
  <c r="BQ58" i="3"/>
  <c r="BQ113" i="4"/>
  <c r="BK113" i="4" s="1"/>
  <c r="BP39" i="4"/>
  <c r="BJ39" i="4" s="1"/>
  <c r="BP126" i="3"/>
  <c r="BR42" i="3"/>
  <c r="BP147" i="3"/>
  <c r="BP61" i="3"/>
  <c r="BQ129" i="4"/>
  <c r="BK129" i="4" s="1"/>
  <c r="BQ68" i="4"/>
  <c r="BK68" i="4" s="1"/>
  <c r="BQ9" i="4"/>
  <c r="BK9" i="4" s="1"/>
  <c r="BQ146" i="4"/>
  <c r="BK146" i="4" s="1"/>
  <c r="BQ91" i="4"/>
  <c r="BK91" i="4" s="1"/>
  <c r="BR79" i="4"/>
  <c r="BL79" i="4" s="1"/>
  <c r="BQ18" i="4"/>
  <c r="BK18" i="4" s="1"/>
  <c r="BS147" i="4"/>
  <c r="BM147" i="4" s="1"/>
  <c r="BQ61" i="4"/>
  <c r="BK61" i="4" s="1"/>
  <c r="BT146" i="4"/>
  <c r="BN146" i="4" s="1"/>
  <c r="BR80" i="4"/>
  <c r="BL80" i="4" s="1"/>
  <c r="BQ24" i="4"/>
  <c r="BK24" i="4" s="1"/>
  <c r="BP52" i="4"/>
  <c r="BJ52" i="4" s="1"/>
  <c r="BQ86" i="4"/>
  <c r="BK86" i="4" s="1"/>
  <c r="BP89" i="4"/>
  <c r="BJ89" i="4" s="1"/>
  <c r="BR123" i="4"/>
  <c r="BL123" i="4" s="1"/>
  <c r="BR90" i="4"/>
  <c r="BL90" i="4" s="1"/>
  <c r="BP69" i="4"/>
  <c r="BJ69" i="4" s="1"/>
  <c r="BP134" i="4"/>
  <c r="BJ134" i="4" s="1"/>
  <c r="BR32" i="4"/>
  <c r="BL32" i="4" s="1"/>
  <c r="BP133" i="4"/>
  <c r="BJ133" i="4" s="1"/>
  <c r="BP96" i="4"/>
  <c r="BJ96" i="4" s="1"/>
  <c r="BR57" i="4"/>
  <c r="BL57" i="4" s="1"/>
  <c r="BP136" i="4"/>
  <c r="BJ136" i="4" s="1"/>
  <c r="BP51" i="4"/>
  <c r="BJ51" i="4" s="1"/>
  <c r="BP122" i="3"/>
  <c r="BP57" i="3"/>
  <c r="BP143" i="3"/>
  <c r="BP43" i="3"/>
  <c r="BQ138" i="3"/>
  <c r="BQ125" i="3"/>
  <c r="BP78" i="3"/>
  <c r="BP139" i="3"/>
  <c r="BQ145" i="3"/>
  <c r="BQ78" i="3"/>
  <c r="BR29" i="4"/>
  <c r="BL29" i="4" s="1"/>
  <c r="BP71" i="4"/>
  <c r="BJ71" i="4" s="1"/>
  <c r="BP36" i="4"/>
  <c r="BJ36" i="4" s="1"/>
  <c r="BS142" i="4"/>
  <c r="BM142" i="4" s="1"/>
  <c r="BP112" i="4"/>
  <c r="BJ112" i="4" s="1"/>
  <c r="BR36" i="4"/>
  <c r="BL36" i="4" s="1"/>
  <c r="BP66" i="4"/>
  <c r="BJ66" i="4" s="1"/>
  <c r="BQ136" i="4"/>
  <c r="BK136" i="4" s="1"/>
  <c r="BS88" i="4"/>
  <c r="BM88" i="4" s="1"/>
  <c r="BS120" i="4"/>
  <c r="BM120" i="4" s="1"/>
  <c r="BR74" i="3"/>
  <c r="BQ126" i="3"/>
  <c r="BP62" i="3"/>
  <c r="BP141" i="3"/>
  <c r="BQ137" i="3"/>
  <c r="BP82" i="3"/>
  <c r="BS140" i="3"/>
  <c r="BP4" i="3"/>
  <c r="BQ82" i="3"/>
  <c r="BR18" i="4"/>
  <c r="BL18" i="4" s="1"/>
  <c r="BR84" i="4"/>
  <c r="BL84" i="4" s="1"/>
  <c r="BS41" i="4"/>
  <c r="BM41" i="4" s="1"/>
  <c r="BS146" i="4"/>
  <c r="BM146" i="4" s="1"/>
  <c r="BQ134" i="4"/>
  <c r="BK134" i="4" s="1"/>
  <c r="BS43" i="4"/>
  <c r="BM43" i="4" s="1"/>
  <c r="BP70" i="4"/>
  <c r="BJ70" i="4" s="1"/>
  <c r="BP46" i="4"/>
  <c r="BQ90" i="4"/>
  <c r="BK90" i="4" s="1"/>
  <c r="BQ130" i="4"/>
  <c r="BK130" i="4" s="1"/>
  <c r="BP140" i="3"/>
  <c r="BQ77" i="3"/>
  <c r="BQ15" i="3"/>
  <c r="BS74" i="3"/>
  <c r="BQ143" i="3"/>
  <c r="BQ8" i="3"/>
  <c r="BP84" i="3"/>
  <c r="BQ142" i="3"/>
  <c r="BP16" i="3"/>
  <c r="BQ101" i="3"/>
  <c r="BP12" i="4"/>
  <c r="BJ12" i="4" s="1"/>
  <c r="BR105" i="4"/>
  <c r="BL105" i="4" s="1"/>
  <c r="BR46" i="4"/>
  <c r="BL46" i="4" s="1"/>
  <c r="BR130" i="4"/>
  <c r="BL130" i="4" s="1"/>
  <c r="BR145" i="4"/>
  <c r="BL145" i="4" s="1"/>
  <c r="BR83" i="4"/>
  <c r="BL83" i="4" s="1"/>
  <c r="BS75" i="4"/>
  <c r="BM75" i="4" s="1"/>
  <c r="BQ11" i="4"/>
  <c r="BK11" i="4" s="1"/>
  <c r="BQ95" i="4"/>
  <c r="BK95" i="4" s="1"/>
  <c r="BR133" i="4"/>
  <c r="BL133" i="4" s="1"/>
  <c r="BP18" i="4"/>
  <c r="BJ18" i="4" s="1"/>
  <c r="BR128" i="4"/>
  <c r="BL128" i="4" s="1"/>
  <c r="BT148" i="4"/>
  <c r="BN148" i="4" s="1"/>
  <c r="BS119" i="3"/>
  <c r="BP25" i="4"/>
  <c r="BJ25" i="4" s="1"/>
  <c r="BR146" i="4"/>
  <c r="BL146" i="4" s="1"/>
  <c r="BQ67" i="4"/>
  <c r="BK67" i="4" s="1"/>
  <c r="BP50" i="4"/>
  <c r="BJ50" i="4" s="1"/>
  <c r="BP148" i="4"/>
  <c r="BJ148" i="4" s="1"/>
  <c r="BQ131" i="4"/>
  <c r="BK131" i="4" s="1"/>
  <c r="BQ85" i="4"/>
  <c r="BK85" i="4" s="1"/>
  <c r="BP24" i="4"/>
  <c r="BJ24" i="4" s="1"/>
  <c r="BQ5" i="4"/>
  <c r="BK5" i="4" s="1"/>
  <c r="BQ22" i="4"/>
  <c r="BK22" i="4" s="1"/>
  <c r="BQ69" i="4"/>
  <c r="BK69" i="4" s="1"/>
  <c r="BR67" i="4"/>
  <c r="BL67" i="4" s="1"/>
  <c r="BQ32" i="4"/>
  <c r="BK32" i="4" s="1"/>
  <c r="BP97" i="4"/>
  <c r="BJ97" i="4" s="1"/>
  <c r="BR44" i="4"/>
  <c r="BL44" i="4" s="1"/>
  <c r="BQ50" i="4"/>
  <c r="BK50" i="4" s="1"/>
  <c r="BQ148" i="4"/>
  <c r="BK148" i="4" s="1"/>
  <c r="BS83" i="4"/>
  <c r="BM83" i="4" s="1"/>
  <c r="BR144" i="4"/>
  <c r="BL144" i="4" s="1"/>
  <c r="BS45" i="4"/>
  <c r="BM45" i="4" s="1"/>
  <c r="BS123" i="4"/>
  <c r="BM123" i="4" s="1"/>
  <c r="BR66" i="4"/>
  <c r="BL66" i="4" s="1"/>
  <c r="BT144" i="4"/>
  <c r="BN144" i="4" s="1"/>
  <c r="BQ70" i="4"/>
  <c r="BK70" i="4" s="1"/>
  <c r="BQ72" i="4"/>
  <c r="BK72" i="4" s="1"/>
  <c r="BP91" i="4"/>
  <c r="BJ91" i="4" s="1"/>
  <c r="BR43" i="4"/>
  <c r="BL43" i="4" s="1"/>
  <c r="BP114" i="4"/>
  <c r="BJ114" i="4" s="1"/>
  <c r="BQ135" i="4"/>
  <c r="BK135" i="4" s="1"/>
  <c r="BQ88" i="4"/>
  <c r="BK88" i="4" s="1"/>
  <c r="BQ105" i="4"/>
  <c r="BK105" i="4" s="1"/>
  <c r="BP90" i="4"/>
  <c r="BJ90" i="4" s="1"/>
  <c r="BQ111" i="4"/>
  <c r="BK111" i="4" s="1"/>
  <c r="BQ60" i="4"/>
  <c r="BK60" i="4" s="1"/>
  <c r="BS144" i="4"/>
  <c r="BM144" i="4" s="1"/>
  <c r="BP111" i="4"/>
  <c r="BJ111" i="4" s="1"/>
  <c r="BQ93" i="4"/>
  <c r="BK93" i="4" s="1"/>
  <c r="BP86" i="4"/>
  <c r="BJ86" i="4" s="1"/>
  <c r="BS46" i="4"/>
  <c r="BM46" i="4" s="1"/>
  <c r="BP116" i="4"/>
  <c r="BJ116" i="4" s="1"/>
  <c r="BR17" i="4"/>
  <c r="BL17" i="4" s="1"/>
  <c r="BQ106" i="4"/>
  <c r="BK106" i="4" s="1"/>
  <c r="BP11" i="4"/>
  <c r="BR102" i="4"/>
  <c r="BL102" i="4" s="1"/>
  <c r="BS133" i="4"/>
  <c r="BM133" i="4" s="1"/>
  <c r="BQ62" i="4"/>
  <c r="BK62" i="4" s="1"/>
  <c r="BQ84" i="4"/>
  <c r="BK84" i="4" s="1"/>
  <c r="BP113" i="4"/>
  <c r="BJ113" i="4" s="1"/>
  <c r="BQ109" i="4"/>
  <c r="BK109" i="4" s="1"/>
  <c r="BR101" i="4"/>
  <c r="BL101" i="4" s="1"/>
  <c r="BQ37" i="4"/>
  <c r="BK37" i="4" s="1"/>
  <c r="BP135" i="4"/>
  <c r="BJ135" i="4" s="1"/>
  <c r="BS81" i="4"/>
  <c r="BM81" i="4" s="1"/>
  <c r="BS44" i="4"/>
  <c r="BM44" i="4" s="1"/>
  <c r="BS124" i="4"/>
  <c r="BM124" i="4" s="1"/>
  <c r="BR115" i="4"/>
  <c r="BL115" i="4" s="1"/>
  <c r="BS138" i="4"/>
  <c r="BM138" i="4" s="1"/>
  <c r="BT147" i="4"/>
  <c r="BN147" i="4" s="1"/>
  <c r="BQ108" i="4"/>
  <c r="BK108" i="4" s="1"/>
  <c r="BP100" i="4"/>
  <c r="BJ100" i="4" s="1"/>
  <c r="BP8" i="4"/>
  <c r="BJ8" i="4" s="1"/>
  <c r="BQ25" i="4"/>
  <c r="BK25" i="4" s="1"/>
  <c r="BS121" i="4"/>
  <c r="BM121" i="4" s="1"/>
  <c r="BS125" i="4"/>
  <c r="BM125" i="4" s="1"/>
  <c r="BR40" i="4"/>
  <c r="BL40" i="4" s="1"/>
  <c r="BQ63" i="4"/>
  <c r="BK63" i="4" s="1"/>
  <c r="BS129" i="4"/>
  <c r="BM129" i="4" s="1"/>
  <c r="BP78" i="4"/>
  <c r="BJ78" i="4" s="1"/>
  <c r="BQ42" i="4"/>
  <c r="BK42" i="4" s="1"/>
  <c r="BS131" i="4"/>
  <c r="BM131" i="4" s="1"/>
  <c r="BQ59" i="4"/>
  <c r="BK59" i="4" s="1"/>
  <c r="BR86" i="4"/>
  <c r="BL86" i="4" s="1"/>
  <c r="BS136" i="4"/>
  <c r="BM136" i="4" s="1"/>
  <c r="BP126" i="4"/>
  <c r="BJ126" i="4" s="1"/>
  <c r="BP44" i="3"/>
  <c r="BS139" i="3"/>
  <c r="BP28" i="3"/>
  <c r="BP8" i="3"/>
  <c r="BP110" i="3"/>
  <c r="BP129" i="3"/>
  <c r="BP102" i="3"/>
  <c r="BR143" i="3"/>
  <c r="BP31" i="3"/>
  <c r="BP107" i="3"/>
  <c r="BP35" i="3"/>
  <c r="BR140" i="3"/>
  <c r="BP76" i="3"/>
  <c r="BP109" i="3"/>
  <c r="BQ44" i="3"/>
  <c r="BP9" i="3"/>
  <c r="BQ76" i="3"/>
  <c r="BQ139" i="3"/>
  <c r="BP6" i="4"/>
  <c r="BJ6" i="4" s="1"/>
  <c r="BQ89" i="4"/>
  <c r="BK89" i="4" s="1"/>
  <c r="BQ6" i="4"/>
  <c r="BK6" i="4" s="1"/>
  <c r="BR89" i="4"/>
  <c r="BL89" i="4" s="1"/>
  <c r="BQ17" i="4"/>
  <c r="BK17" i="4" s="1"/>
  <c r="BR78" i="4"/>
  <c r="BL78" i="4" s="1"/>
  <c r="BR129" i="4"/>
  <c r="BL129" i="4" s="1"/>
  <c r="BQ107" i="4"/>
  <c r="BK107" i="4" s="1"/>
  <c r="BQ45" i="4"/>
  <c r="BK45" i="4" s="1"/>
  <c r="BR134" i="4"/>
  <c r="BL134" i="4" s="1"/>
  <c r="BR45" i="4"/>
  <c r="BL45" i="4" s="1"/>
  <c r="BR88" i="4"/>
  <c r="BL88" i="4" s="1"/>
  <c r="BT141" i="4"/>
  <c r="BN141" i="4" s="1"/>
  <c r="BQ21" i="4"/>
  <c r="BK21" i="4" s="1"/>
  <c r="BQ66" i="4"/>
  <c r="BK66" i="4" s="1"/>
  <c r="BQ133" i="4"/>
  <c r="BK133" i="4" s="1"/>
  <c r="BQ33" i="4"/>
  <c r="BK33" i="4" s="1"/>
  <c r="BP115" i="4"/>
  <c r="BJ115" i="4" s="1"/>
  <c r="BR147" i="4"/>
  <c r="BL147" i="4" s="1"/>
  <c r="BS79" i="4"/>
  <c r="BM79" i="4" s="1"/>
  <c r="BQ73" i="4"/>
  <c r="BK73" i="4" s="1"/>
  <c r="BQ13" i="4"/>
  <c r="BK13" i="4" s="1"/>
  <c r="BR108" i="4"/>
  <c r="BL108" i="4" s="1"/>
  <c r="BS42" i="4"/>
  <c r="BM42" i="4" s="1"/>
  <c r="BQ26" i="4"/>
  <c r="BK26" i="4" s="1"/>
  <c r="BP132" i="4"/>
  <c r="BJ132" i="4" s="1"/>
  <c r="BQ28" i="4"/>
  <c r="BK28" i="4" s="1"/>
  <c r="BQ77" i="4"/>
  <c r="BK77" i="4" s="1"/>
  <c r="BQ96" i="4"/>
  <c r="BK96" i="4" s="1"/>
  <c r="BQ10" i="4"/>
  <c r="BK10" i="4" s="1"/>
  <c r="BR30" i="4"/>
  <c r="BL30" i="4" s="1"/>
  <c r="BR112" i="4"/>
  <c r="BL112" i="4" s="1"/>
  <c r="BR82" i="4"/>
  <c r="BL82" i="4" s="1"/>
  <c r="BP49" i="4"/>
  <c r="BJ49" i="4" s="1"/>
  <c r="BP15" i="4"/>
  <c r="BJ15" i="4" s="1"/>
  <c r="BP45" i="4"/>
  <c r="BJ45" i="4" s="1"/>
  <c r="BR42" i="4"/>
  <c r="BL42" i="4" s="1"/>
  <c r="BP56" i="3"/>
  <c r="BP40" i="3"/>
  <c r="BP85" i="3"/>
  <c r="BQ29" i="3"/>
  <c r="BP131" i="3"/>
  <c r="BQ14" i="3"/>
  <c r="BP125" i="3"/>
  <c r="BP29" i="3"/>
  <c r="BQ57" i="3"/>
  <c r="BR122" i="3"/>
  <c r="BQ42" i="3"/>
  <c r="BP23" i="3"/>
  <c r="BP80" i="3"/>
  <c r="BR121" i="3"/>
  <c r="BP106" i="3"/>
  <c r="BQ30" i="3"/>
  <c r="BQ80" i="3"/>
  <c r="BP144" i="3"/>
  <c r="BQ46" i="4"/>
  <c r="BK46" i="4" s="1"/>
  <c r="BR111" i="4"/>
  <c r="BL111" i="4" s="1"/>
  <c r="BP38" i="4"/>
  <c r="BJ38" i="4" s="1"/>
  <c r="BR124" i="4"/>
  <c r="BL124" i="4" s="1"/>
  <c r="BQ34" i="4"/>
  <c r="BK34" i="4" s="1"/>
  <c r="BP88" i="4"/>
  <c r="BJ88" i="4" s="1"/>
  <c r="BT138" i="4"/>
  <c r="BN138" i="4" s="1"/>
  <c r="BR15" i="4"/>
  <c r="BL15" i="4" s="1"/>
  <c r="BS78" i="4"/>
  <c r="BM78" i="4" s="1"/>
  <c r="BS141" i="4"/>
  <c r="BM141" i="4" s="1"/>
  <c r="BP68" i="4"/>
  <c r="BJ68" i="4" s="1"/>
  <c r="BP95" i="4"/>
  <c r="BJ95" i="4" s="1"/>
  <c r="BR148" i="4"/>
  <c r="BL148" i="4" s="1"/>
  <c r="BP37" i="4"/>
  <c r="BR85" i="4"/>
  <c r="BL85" i="4" s="1"/>
  <c r="BQ147" i="4"/>
  <c r="BK147" i="4" s="1"/>
  <c r="BQ39" i="4"/>
  <c r="BK39" i="4" s="1"/>
  <c r="BR125" i="4"/>
  <c r="BL125" i="4" s="1"/>
  <c r="BR33" i="4"/>
  <c r="BL33" i="4" s="1"/>
  <c r="BP99" i="4"/>
  <c r="BJ99" i="4" s="1"/>
  <c r="BQ38" i="4"/>
  <c r="BK38" i="4" s="1"/>
  <c r="BR38" i="4"/>
  <c r="BL38" i="4" s="1"/>
  <c r="BS126" i="4"/>
  <c r="BM126" i="4" s="1"/>
  <c r="BQ87" i="4"/>
  <c r="BK87" i="4" s="1"/>
  <c r="BR41" i="4"/>
  <c r="BL41" i="4" s="1"/>
  <c r="BP34" i="4"/>
  <c r="BJ34" i="4" s="1"/>
  <c r="BP102" i="4"/>
  <c r="BJ102" i="4" s="1"/>
  <c r="BR120" i="4"/>
  <c r="BL120" i="4" s="1"/>
  <c r="BS148" i="4"/>
  <c r="BM148" i="4" s="1"/>
  <c r="BR60" i="4"/>
  <c r="BL60" i="4" s="1"/>
  <c r="BS128" i="4"/>
  <c r="BM128" i="4" s="1"/>
  <c r="BR16" i="4"/>
  <c r="BL16" i="4" s="1"/>
  <c r="BR117" i="4"/>
  <c r="BL117" i="4" s="1"/>
  <c r="BR61" i="4"/>
  <c r="BL61" i="4" s="1"/>
  <c r="BP53" i="4"/>
  <c r="BJ53" i="4" s="1"/>
  <c r="BR87" i="4"/>
  <c r="BL87" i="4" s="1"/>
  <c r="BQ98" i="4"/>
  <c r="BK98" i="4" s="1"/>
  <c r="BP43" i="4"/>
  <c r="BJ43" i="4" s="1"/>
  <c r="BQ57" i="4"/>
  <c r="BK57" i="4" s="1"/>
  <c r="BP131" i="4"/>
  <c r="BJ131" i="4" s="1"/>
  <c r="BQ16" i="4"/>
  <c r="BK16" i="4" s="1"/>
  <c r="BP72" i="4"/>
  <c r="BP27" i="4"/>
  <c r="BJ27" i="4" s="1"/>
  <c r="BP141" i="4"/>
  <c r="BJ141" i="4" s="1"/>
  <c r="BQ141" i="4"/>
  <c r="BK141" i="4" s="1"/>
  <c r="BP74" i="4"/>
  <c r="BJ74" i="4" s="1"/>
  <c r="BR37" i="4"/>
  <c r="BL37" i="4" s="1"/>
  <c r="BR103" i="4"/>
  <c r="BL103" i="4" s="1"/>
  <c r="BR81" i="4"/>
  <c r="BL81" i="4" s="1"/>
  <c r="BP118" i="4"/>
  <c r="BJ118" i="4" s="1"/>
  <c r="BQ118" i="4"/>
  <c r="BK118" i="4" s="1"/>
  <c r="BR114" i="4"/>
  <c r="BL114" i="4" s="1"/>
  <c r="BQ115" i="4"/>
  <c r="BK115" i="4" s="1"/>
  <c r="BP117" i="4"/>
  <c r="BT139" i="4"/>
  <c r="BN139" i="4" s="1"/>
  <c r="BP13" i="4"/>
  <c r="BJ13" i="4" s="1"/>
  <c r="BT142" i="4"/>
  <c r="BN142" i="4" s="1"/>
  <c r="BR126" i="4"/>
  <c r="BL126" i="4" s="1"/>
  <c r="BS134" i="4"/>
  <c r="BM134" i="4" s="1"/>
  <c r="BQ35" i="4"/>
  <c r="BK35" i="4" s="1"/>
  <c r="BR109" i="4"/>
  <c r="BL109" i="4" s="1"/>
  <c r="BQ117" i="4"/>
  <c r="BK117" i="4" s="1"/>
  <c r="BQ48" i="4"/>
  <c r="BK48" i="4" s="1"/>
  <c r="BR58" i="4"/>
  <c r="BL58" i="4" s="1"/>
  <c r="BP55" i="4"/>
  <c r="BJ55" i="4" s="1"/>
  <c r="BQ99" i="4"/>
  <c r="BK99" i="4" s="1"/>
  <c r="BR118" i="4"/>
  <c r="BL118" i="4" s="1"/>
  <c r="BP57" i="4"/>
  <c r="BJ57" i="4" s="1"/>
  <c r="BP121" i="4"/>
  <c r="BJ121" i="4" s="1"/>
  <c r="BP17" i="4"/>
  <c r="BJ17" i="4" s="1"/>
  <c r="BP75" i="4"/>
  <c r="BJ75" i="4" s="1"/>
  <c r="BQ119" i="4"/>
  <c r="BK119" i="4" s="1"/>
  <c r="BP106" i="4"/>
  <c r="BR75" i="4"/>
  <c r="BL75" i="4" s="1"/>
  <c r="BP82" i="4"/>
  <c r="BJ82" i="4" s="1"/>
  <c r="BQ31" i="4"/>
  <c r="BK31" i="4" s="1"/>
  <c r="BS90" i="4"/>
  <c r="BM90" i="4" s="1"/>
  <c r="BR62" i="4"/>
  <c r="BL62" i="4" s="1"/>
  <c r="BP59" i="4"/>
  <c r="BP129" i="4"/>
  <c r="BP20" i="4"/>
  <c r="BQ78" i="4"/>
  <c r="BK78" i="4" s="1"/>
  <c r="BQ15" i="4"/>
  <c r="BK15" i="4" s="1"/>
  <c r="BP108" i="4"/>
  <c r="BJ108" i="4" s="1"/>
  <c r="BP120" i="4"/>
  <c r="BJ120" i="4" s="1"/>
  <c r="BP29" i="4"/>
  <c r="BJ29" i="4" s="1"/>
  <c r="BP101" i="4"/>
  <c r="BJ101" i="4" s="1"/>
  <c r="BR59" i="4"/>
  <c r="BL59" i="4" s="1"/>
  <c r="BR14" i="4"/>
  <c r="BL14" i="4" s="1"/>
  <c r="BP63" i="4"/>
  <c r="BJ63" i="4" s="1"/>
  <c r="BP137" i="4"/>
  <c r="BJ137" i="4" s="1"/>
  <c r="BP28" i="4"/>
  <c r="BJ28" i="4" s="1"/>
  <c r="BP94" i="4"/>
  <c r="BJ94" i="4" s="1"/>
  <c r="BQ20" i="4"/>
  <c r="BK20" i="4" s="1"/>
  <c r="BP110" i="4"/>
  <c r="BJ110" i="4" s="1"/>
  <c r="BQ123" i="4"/>
  <c r="BK123" i="4" s="1"/>
  <c r="BP31" i="4"/>
  <c r="BJ31" i="4" s="1"/>
  <c r="BP105" i="4"/>
  <c r="BJ105" i="4" s="1"/>
  <c r="BR39" i="4"/>
  <c r="BL39" i="4" s="1"/>
  <c r="BR65" i="4"/>
  <c r="BL65" i="4" s="1"/>
  <c r="BP22" i="4"/>
  <c r="BR76" i="4"/>
  <c r="BL76" i="4" s="1"/>
  <c r="BR138" i="4"/>
  <c r="BL138" i="4" s="1"/>
  <c r="BP30" i="4"/>
  <c r="BJ30" i="4" s="1"/>
  <c r="BQ121" i="4"/>
  <c r="BK121" i="4" s="1"/>
  <c r="BP23" i="4"/>
  <c r="BJ23" i="4" s="1"/>
  <c r="BR121" i="4"/>
  <c r="BL121" i="4" s="1"/>
  <c r="BP21" i="4"/>
  <c r="BJ21" i="4" s="1"/>
  <c r="BP35" i="4"/>
  <c r="BJ35" i="4" s="1"/>
  <c r="BR113" i="4"/>
  <c r="BL113" i="4" s="1"/>
  <c r="BQ110" i="4"/>
  <c r="BK110" i="4" s="1"/>
  <c r="BP124" i="4"/>
  <c r="BJ124" i="4" s="1"/>
  <c r="BQ81" i="4"/>
  <c r="BK81" i="4" s="1"/>
  <c r="BR142" i="4"/>
  <c r="BL142" i="4" s="1"/>
  <c r="BQ43" i="4"/>
  <c r="BK43" i="4" s="1"/>
  <c r="BQ137" i="4"/>
  <c r="BK137" i="4" s="1"/>
  <c r="BQ30" i="4"/>
  <c r="BK30" i="4" s="1"/>
  <c r="BS74" i="4"/>
  <c r="BM74" i="4" s="1"/>
  <c r="BP64" i="4"/>
  <c r="BJ64" i="4" s="1"/>
  <c r="BR77" i="4"/>
  <c r="BL77" i="4" s="1"/>
  <c r="BQ10" i="5"/>
  <c r="BK10" i="5" s="1"/>
  <c r="BP16" i="5"/>
  <c r="BJ16" i="5" s="1"/>
  <c r="BS122" i="4"/>
  <c r="BM122" i="4" s="1"/>
  <c r="BR71" i="4"/>
  <c r="BL71" i="4" s="1"/>
  <c r="BS80" i="4"/>
  <c r="BM80" i="4" s="1"/>
  <c r="BR141" i="4"/>
  <c r="BL141" i="4" s="1"/>
  <c r="BP128" i="4"/>
  <c r="BR140" i="4"/>
  <c r="BL140" i="4" s="1"/>
  <c r="BS139" i="4"/>
  <c r="BM139" i="4" s="1"/>
  <c r="BQ28" i="5"/>
  <c r="BK28" i="5" s="1"/>
  <c r="BS82" i="4"/>
  <c r="BM82" i="4" s="1"/>
  <c r="BR34" i="4"/>
  <c r="BL34" i="4" s="1"/>
  <c r="BQ54" i="4"/>
  <c r="BK54" i="4" s="1"/>
  <c r="BP144" i="4"/>
  <c r="BJ144" i="4" s="1"/>
  <c r="BS137" i="4"/>
  <c r="BM137" i="4" s="1"/>
  <c r="BP147" i="4"/>
  <c r="BP9" i="4"/>
  <c r="BJ9" i="4" s="1"/>
  <c r="BP35" i="5"/>
  <c r="BJ35" i="5" s="1"/>
  <c r="BR68" i="4"/>
  <c r="BL68" i="4" s="1"/>
  <c r="BQ12" i="4"/>
  <c r="BK12" i="4" s="1"/>
  <c r="BR127" i="4"/>
  <c r="BL127" i="4" s="1"/>
  <c r="BR132" i="4"/>
  <c r="BL132" i="4" s="1"/>
  <c r="BS89" i="4"/>
  <c r="BM89" i="4" s="1"/>
  <c r="BS86" i="4"/>
  <c r="BM86" i="4" s="1"/>
  <c r="BR106" i="4"/>
  <c r="BL106" i="4" s="1"/>
  <c r="BQ64" i="4"/>
  <c r="BK64" i="4" s="1"/>
  <c r="BQ51" i="4"/>
  <c r="BK51" i="4" s="1"/>
  <c r="BR107" i="4"/>
  <c r="BL107" i="4" s="1"/>
  <c r="BS127" i="4"/>
  <c r="BM127" i="4" s="1"/>
  <c r="BQ116" i="4"/>
  <c r="BK116" i="4" s="1"/>
  <c r="BS77" i="4"/>
  <c r="BM77" i="4" s="1"/>
  <c r="BP34" i="5"/>
  <c r="BJ34" i="5" s="1"/>
  <c r="BQ65" i="4"/>
  <c r="BK65" i="4" s="1"/>
  <c r="BR73" i="4"/>
  <c r="BL73" i="4" s="1"/>
  <c r="BR104" i="4"/>
  <c r="BL104" i="4" s="1"/>
  <c r="BS85" i="4"/>
  <c r="BM85" i="4" s="1"/>
  <c r="BQ71" i="4"/>
  <c r="BK71" i="4" s="1"/>
  <c r="BQ94" i="4"/>
  <c r="BK94" i="4" s="1"/>
  <c r="BR116" i="4"/>
  <c r="BL116" i="4" s="1"/>
  <c r="BT140" i="4"/>
  <c r="BN140" i="4" s="1"/>
  <c r="BR35" i="4"/>
  <c r="BL35" i="4" s="1"/>
  <c r="BP73" i="4"/>
  <c r="BJ73" i="4" s="1"/>
  <c r="BQ132" i="4"/>
  <c r="BK132" i="4" s="1"/>
  <c r="BS76" i="4"/>
  <c r="BM76" i="4" s="1"/>
  <c r="BR63" i="4"/>
  <c r="BL63" i="4" s="1"/>
  <c r="BS132" i="4"/>
  <c r="BM132" i="4" s="1"/>
  <c r="BR91" i="4"/>
  <c r="BL91" i="4" s="1"/>
  <c r="BQ53" i="4"/>
  <c r="BK53" i="4" s="1"/>
  <c r="BR131" i="4"/>
  <c r="BL131" i="4" s="1"/>
  <c r="BP98" i="4"/>
  <c r="BJ98" i="4" s="1"/>
  <c r="BP54" i="4"/>
  <c r="BJ54" i="4" s="1"/>
  <c r="BR31" i="4"/>
  <c r="BL31" i="4" s="1"/>
  <c r="BS130" i="4"/>
  <c r="BM130" i="4" s="1"/>
  <c r="BS135" i="4"/>
  <c r="BM135" i="4" s="1"/>
  <c r="BQ23" i="4"/>
  <c r="BK23" i="4" s="1"/>
  <c r="BQ100" i="4"/>
  <c r="BK100" i="4" s="1"/>
  <c r="BR64" i="4"/>
  <c r="BL64" i="4" s="1"/>
  <c r="BQ41" i="4"/>
  <c r="BK41" i="4" s="1"/>
  <c r="BP61" i="4"/>
  <c r="BJ61" i="4" s="1"/>
  <c r="BR119" i="4"/>
  <c r="BL119" i="4" s="1"/>
  <c r="BP145" i="4"/>
  <c r="BJ145" i="4" s="1"/>
  <c r="BP32" i="4"/>
  <c r="BJ32" i="4" s="1"/>
  <c r="BP83" i="4"/>
  <c r="BJ83" i="4" s="1"/>
  <c r="BQ145" i="4"/>
  <c r="BK145" i="4" s="1"/>
  <c r="BQ40" i="4"/>
  <c r="BK40" i="4" s="1"/>
  <c r="BQ126" i="4"/>
  <c r="BK126" i="4" s="1"/>
  <c r="BP42" i="4"/>
  <c r="BJ42" i="4" s="1"/>
  <c r="BS40" i="4"/>
  <c r="BM40" i="4" s="1"/>
  <c r="BP143" i="4"/>
  <c r="BJ143" i="4" s="1"/>
  <c r="BQ82" i="4"/>
  <c r="BK82" i="4" s="1"/>
  <c r="BP103" i="4"/>
  <c r="BJ103" i="4" s="1"/>
  <c r="BP61" i="5"/>
  <c r="BJ61" i="5" s="1"/>
  <c r="BP57" i="5"/>
  <c r="BJ57" i="5" s="1"/>
  <c r="BQ27" i="4"/>
  <c r="BK27" i="4" s="1"/>
  <c r="BS87" i="4"/>
  <c r="BM87" i="4" s="1"/>
  <c r="BT143" i="4"/>
  <c r="BN143" i="4" s="1"/>
  <c r="BS84" i="4"/>
  <c r="BM84" i="4" s="1"/>
  <c r="BR69" i="4"/>
  <c r="BL69" i="4" s="1"/>
  <c r="BS143" i="4"/>
  <c r="BM143" i="4" s="1"/>
  <c r="BQ114" i="4"/>
  <c r="BK114" i="4" s="1"/>
  <c r="BS91" i="4"/>
  <c r="BM91" i="4" s="1"/>
  <c r="BT145" i="4"/>
  <c r="BN145" i="4" s="1"/>
  <c r="BR136" i="4"/>
  <c r="BL136" i="4" s="1"/>
  <c r="BR72" i="4"/>
  <c r="BL72" i="4" s="1"/>
  <c r="BQ49" i="4"/>
  <c r="BK49" i="4" s="1"/>
  <c r="BQ52" i="4"/>
  <c r="BK52" i="4" s="1"/>
  <c r="BQ55" i="4"/>
  <c r="BK55" i="4" s="1"/>
  <c r="BQ97" i="4"/>
  <c r="BK97" i="4" s="1"/>
  <c r="BR110" i="4"/>
  <c r="BL110" i="4" s="1"/>
  <c r="BR70" i="4"/>
  <c r="BL70" i="4" s="1"/>
  <c r="BP81" i="4"/>
  <c r="BJ81" i="4" s="1"/>
  <c r="BP65" i="4"/>
  <c r="BJ65" i="4" s="1"/>
  <c r="BQ124" i="4"/>
  <c r="BK124" i="4" s="1"/>
  <c r="BP10" i="4"/>
  <c r="BJ10" i="4" s="1"/>
  <c r="BP40" i="4"/>
  <c r="BS119" i="4"/>
  <c r="BM119" i="4" s="1"/>
  <c r="BP4" i="4"/>
  <c r="BJ4" i="4" s="1"/>
  <c r="BP80" i="4"/>
  <c r="BJ80" i="4" s="1"/>
  <c r="BP140" i="4"/>
  <c r="BJ140" i="4" s="1"/>
  <c r="BP77" i="4"/>
  <c r="BJ77" i="4" s="1"/>
  <c r="BP48" i="4"/>
  <c r="BQ101" i="4"/>
  <c r="BK101" i="4" s="1"/>
  <c r="BP122" i="4"/>
  <c r="BJ122" i="4" s="1"/>
  <c r="BP107" i="4"/>
  <c r="BJ107" i="4" s="1"/>
  <c r="BR76" i="5"/>
  <c r="BL76" i="5" s="1"/>
  <c r="BQ58" i="5"/>
  <c r="BK58" i="5" s="1"/>
  <c r="BT142" i="5"/>
  <c r="BN142" i="5" s="1"/>
  <c r="BS44" i="5"/>
  <c r="BM44" i="5" s="1"/>
  <c r="BP99" i="5"/>
  <c r="BJ99" i="5" s="1"/>
  <c r="BQ108" i="5"/>
  <c r="BK108" i="5" s="1"/>
  <c r="BS121" i="5"/>
  <c r="BM121" i="5" s="1"/>
  <c r="BP106" i="5"/>
  <c r="BJ106" i="5" s="1"/>
  <c r="BP125" i="5"/>
  <c r="BJ125" i="5" s="1"/>
  <c r="BP93" i="5"/>
  <c r="BJ93" i="5" s="1"/>
  <c r="BR122" i="5"/>
  <c r="BL122" i="5" s="1"/>
  <c r="BR81" i="5"/>
  <c r="BL81" i="5" s="1"/>
  <c r="BS86" i="5"/>
  <c r="BM86" i="5" s="1"/>
  <c r="BR30" i="5"/>
  <c r="BL30" i="5" s="1"/>
  <c r="BS129" i="5"/>
  <c r="BM129" i="5" s="1"/>
  <c r="BQ53" i="5"/>
  <c r="BK53" i="5" s="1"/>
  <c r="BS136" i="5"/>
  <c r="BM136" i="5" s="1"/>
  <c r="BQ75" i="4"/>
  <c r="BK75" i="4" s="1"/>
  <c r="BP123" i="4"/>
  <c r="BR122" i="4"/>
  <c r="BL122" i="4" s="1"/>
  <c r="BQ80" i="4"/>
  <c r="BK80" i="4" s="1"/>
  <c r="BQ140" i="4"/>
  <c r="BK140" i="4" s="1"/>
  <c r="BP56" i="4"/>
  <c r="BQ120" i="4"/>
  <c r="BK120" i="4" s="1"/>
  <c r="BQ142" i="4"/>
  <c r="BK142" i="4" s="1"/>
  <c r="BP44" i="4"/>
  <c r="BJ44" i="4" s="1"/>
  <c r="BP130" i="4"/>
  <c r="BP41" i="4"/>
  <c r="BP142" i="4"/>
  <c r="BJ142" i="4" s="1"/>
  <c r="BR72" i="5"/>
  <c r="BL72" i="5" s="1"/>
  <c r="BR126" i="5"/>
  <c r="BL126" i="5" s="1"/>
  <c r="BP17" i="5"/>
  <c r="BJ17" i="5" s="1"/>
  <c r="BP32" i="5"/>
  <c r="BJ32" i="5" s="1"/>
  <c r="BP82" i="5"/>
  <c r="BJ82" i="5" s="1"/>
  <c r="BP126" i="5"/>
  <c r="BJ126" i="5" s="1"/>
  <c r="BQ4" i="4"/>
  <c r="BK4" i="4" s="1"/>
  <c r="BP85" i="4"/>
  <c r="BJ85" i="4" s="1"/>
  <c r="BQ144" i="4"/>
  <c r="BK144" i="4" s="1"/>
  <c r="BP58" i="4"/>
  <c r="BJ58" i="4" s="1"/>
  <c r="BP125" i="4"/>
  <c r="BP5" i="4"/>
  <c r="BQ56" i="4"/>
  <c r="BK56" i="4" s="1"/>
  <c r="BQ139" i="4"/>
  <c r="BK139" i="4" s="1"/>
  <c r="BQ44" i="4"/>
  <c r="BK44" i="4" s="1"/>
  <c r="BR143" i="4"/>
  <c r="BL143" i="4" s="1"/>
  <c r="BR86" i="5"/>
  <c r="BL86" i="5" s="1"/>
  <c r="BR132" i="5"/>
  <c r="BL132" i="5" s="1"/>
  <c r="BP23" i="5"/>
  <c r="BJ23" i="5" s="1"/>
  <c r="BP42" i="5"/>
  <c r="BJ42" i="5" s="1"/>
  <c r="BP84" i="5"/>
  <c r="BJ84" i="5" s="1"/>
  <c r="BP138" i="5"/>
  <c r="BJ138" i="5" s="1"/>
  <c r="BQ102" i="4"/>
  <c r="BK102" i="4" s="1"/>
  <c r="BQ138" i="4"/>
  <c r="BK138" i="4" s="1"/>
  <c r="BP60" i="4"/>
  <c r="BJ60" i="4" s="1"/>
  <c r="BT137" i="4"/>
  <c r="BN137" i="4" s="1"/>
  <c r="BP14" i="4"/>
  <c r="BJ14" i="4" s="1"/>
  <c r="BQ58" i="4"/>
  <c r="BK58" i="4" s="1"/>
  <c r="BQ143" i="4"/>
  <c r="BK143" i="4" s="1"/>
  <c r="BR74" i="4"/>
  <c r="BL74" i="4" s="1"/>
  <c r="BQ13" i="5"/>
  <c r="BK13" i="5" s="1"/>
  <c r="BS79" i="5"/>
  <c r="BM79" i="5" s="1"/>
  <c r="BR106" i="5"/>
  <c r="BL106" i="5" s="1"/>
  <c r="BP9" i="5"/>
  <c r="BJ9" i="5" s="1"/>
  <c r="BQ40" i="5"/>
  <c r="BK40" i="5" s="1"/>
  <c r="BP81" i="5"/>
  <c r="BJ81" i="5" s="1"/>
  <c r="BP146" i="5"/>
  <c r="BJ146" i="5" s="1"/>
  <c r="BP104" i="4"/>
  <c r="BR137" i="4"/>
  <c r="BL137" i="4" s="1"/>
  <c r="BR28" i="4"/>
  <c r="BL28" i="4" s="1"/>
  <c r="BQ104" i="4"/>
  <c r="BK104" i="4" s="1"/>
  <c r="BQ8" i="4"/>
  <c r="BK8" i="4" s="1"/>
  <c r="BP62" i="4"/>
  <c r="BP139" i="4"/>
  <c r="BJ139" i="4" s="1"/>
  <c r="BP16" i="4"/>
  <c r="BQ74" i="4"/>
  <c r="BK74" i="4" s="1"/>
  <c r="BQ103" i="4"/>
  <c r="BK103" i="4" s="1"/>
  <c r="BP76" i="4"/>
  <c r="BJ76" i="4" s="1"/>
  <c r="BP13" i="5"/>
  <c r="BQ73" i="5"/>
  <c r="BK73" i="5" s="1"/>
  <c r="BT147" i="5"/>
  <c r="BN147" i="5" s="1"/>
  <c r="BP31" i="5"/>
  <c r="BJ31" i="5" s="1"/>
  <c r="BP49" i="5"/>
  <c r="BJ49" i="5" s="1"/>
  <c r="BQ102" i="5"/>
  <c r="BK102" i="5" s="1"/>
  <c r="BP144" i="5"/>
  <c r="BJ144" i="5" s="1"/>
  <c r="BP87" i="4"/>
  <c r="BJ87" i="4" s="1"/>
  <c r="BQ127" i="4"/>
  <c r="BK127" i="4" s="1"/>
  <c r="BR56" i="4"/>
  <c r="BL56" i="4" s="1"/>
  <c r="BP109" i="4"/>
  <c r="BR37" i="5"/>
  <c r="BL37" i="5" s="1"/>
  <c r="BQ35" i="5"/>
  <c r="BK35" i="5" s="1"/>
  <c r="BQ70" i="5"/>
  <c r="BK70" i="5" s="1"/>
  <c r="BQ109" i="5"/>
  <c r="BK109" i="5" s="1"/>
  <c r="BQ118" i="5"/>
  <c r="BK118" i="5" s="1"/>
  <c r="BT145" i="5"/>
  <c r="BN145" i="5" s="1"/>
  <c r="BQ8" i="5"/>
  <c r="BK8" i="5" s="1"/>
  <c r="BP30" i="5"/>
  <c r="BQ56" i="5"/>
  <c r="BK56" i="5" s="1"/>
  <c r="BP63" i="5"/>
  <c r="BJ63" i="5" s="1"/>
  <c r="BQ81" i="5"/>
  <c r="BK81" i="5" s="1"/>
  <c r="BP127" i="5"/>
  <c r="BJ127" i="5" s="1"/>
  <c r="BS138" i="5"/>
  <c r="BM138" i="5" s="1"/>
  <c r="BP119" i="4"/>
  <c r="BJ119" i="4" s="1"/>
  <c r="BP53" i="5"/>
  <c r="BJ53" i="5" s="1"/>
  <c r="BR38" i="5"/>
  <c r="BL38" i="5" s="1"/>
  <c r="BP54" i="5"/>
  <c r="BR112" i="5"/>
  <c r="BL112" i="5" s="1"/>
  <c r="BR136" i="5"/>
  <c r="BL136" i="5" s="1"/>
  <c r="BT143" i="5"/>
  <c r="BN143" i="5" s="1"/>
  <c r="BQ14" i="5"/>
  <c r="BK14" i="5" s="1"/>
  <c r="BQ30" i="5"/>
  <c r="BK30" i="5" s="1"/>
  <c r="BR40" i="5"/>
  <c r="BL40" i="5" s="1"/>
  <c r="BP65" i="5"/>
  <c r="BJ65" i="5" s="1"/>
  <c r="BP86" i="5"/>
  <c r="BJ86" i="5" s="1"/>
  <c r="BP129" i="5"/>
  <c r="BJ129" i="5" s="1"/>
  <c r="BR141" i="5"/>
  <c r="BL141" i="5" s="1"/>
  <c r="BP138" i="4"/>
  <c r="BQ12" i="5"/>
  <c r="BK12" i="5" s="1"/>
  <c r="BR35" i="5"/>
  <c r="BL35" i="5" s="1"/>
  <c r="BP72" i="5"/>
  <c r="BR103" i="5"/>
  <c r="BL103" i="5" s="1"/>
  <c r="BR131" i="5"/>
  <c r="BL131" i="5" s="1"/>
  <c r="BS40" i="5"/>
  <c r="BM40" i="5" s="1"/>
  <c r="BP22" i="5"/>
  <c r="BJ22" i="5" s="1"/>
  <c r="BR41" i="5"/>
  <c r="BL41" i="5" s="1"/>
  <c r="BP41" i="5"/>
  <c r="BJ41" i="5" s="1"/>
  <c r="BQ80" i="5"/>
  <c r="BK80" i="5" s="1"/>
  <c r="BQ101" i="5"/>
  <c r="BK101" i="5" s="1"/>
  <c r="BR119" i="5"/>
  <c r="BL119" i="5" s="1"/>
  <c r="BP145" i="5"/>
  <c r="BJ145" i="5" s="1"/>
  <c r="BQ125" i="4"/>
  <c r="BK125" i="4" s="1"/>
  <c r="BQ14" i="4"/>
  <c r="BK14" i="4" s="1"/>
  <c r="BQ79" i="4"/>
  <c r="BK79" i="4" s="1"/>
  <c r="BR139" i="4"/>
  <c r="BL139" i="4" s="1"/>
  <c r="BQ25" i="5"/>
  <c r="BK25" i="5" s="1"/>
  <c r="BR58" i="5"/>
  <c r="BL58" i="5" s="1"/>
  <c r="BQ87" i="5"/>
  <c r="BK87" i="5" s="1"/>
  <c r="BP118" i="5"/>
  <c r="BJ118" i="5" s="1"/>
  <c r="BQ117" i="5"/>
  <c r="BK117" i="5" s="1"/>
  <c r="BQ4" i="5"/>
  <c r="BK4" i="5" s="1"/>
  <c r="BQ31" i="5"/>
  <c r="BK31" i="5" s="1"/>
  <c r="BP33" i="5"/>
  <c r="BJ33" i="5" s="1"/>
  <c r="BQ43" i="5"/>
  <c r="BK43" i="5" s="1"/>
  <c r="BP80" i="5"/>
  <c r="BJ80" i="5" s="1"/>
  <c r="BQ122" i="5"/>
  <c r="BK122" i="5" s="1"/>
  <c r="BP124" i="5"/>
  <c r="BJ124" i="5" s="1"/>
  <c r="BR142" i="5"/>
  <c r="BL142" i="5" s="1"/>
  <c r="BR33" i="5"/>
  <c r="BL33" i="5" s="1"/>
  <c r="BQ51" i="5"/>
  <c r="BK51" i="5" s="1"/>
  <c r="BR61" i="5"/>
  <c r="BL61" i="5" s="1"/>
  <c r="BS76" i="5"/>
  <c r="BM76" i="5" s="1"/>
  <c r="BR87" i="5"/>
  <c r="BL87" i="5" s="1"/>
  <c r="BS124" i="5"/>
  <c r="BM124" i="5" s="1"/>
  <c r="BT139" i="5"/>
  <c r="BN139" i="5" s="1"/>
  <c r="BR39" i="5"/>
  <c r="BL39" i="5" s="1"/>
  <c r="BR69" i="5"/>
  <c r="BL69" i="5" s="1"/>
  <c r="BP98" i="5"/>
  <c r="BJ98" i="5" s="1"/>
  <c r="BS87" i="5"/>
  <c r="BM87" i="5" s="1"/>
  <c r="BS126" i="5"/>
  <c r="BM126" i="5" s="1"/>
  <c r="BS134" i="5"/>
  <c r="BM134" i="5" s="1"/>
  <c r="BQ94" i="5"/>
  <c r="BK94" i="5" s="1"/>
  <c r="BP26" i="5"/>
  <c r="BJ26" i="5" s="1"/>
  <c r="BP38" i="5"/>
  <c r="BJ38" i="5" s="1"/>
  <c r="BQ17" i="5"/>
  <c r="BK17" i="5" s="1"/>
  <c r="BQ32" i="5"/>
  <c r="BK32" i="5" s="1"/>
  <c r="BR59" i="5"/>
  <c r="BL59" i="5" s="1"/>
  <c r="BQ54" i="5"/>
  <c r="BK54" i="5" s="1"/>
  <c r="BR104" i="5"/>
  <c r="BL104" i="5" s="1"/>
  <c r="BP146" i="4"/>
  <c r="BQ27" i="5"/>
  <c r="BK27" i="5" s="1"/>
  <c r="BR67" i="5"/>
  <c r="BL67" i="5" s="1"/>
  <c r="BQ48" i="5"/>
  <c r="BK48" i="5" s="1"/>
  <c r="BQ63" i="5"/>
  <c r="BK63" i="5" s="1"/>
  <c r="BS81" i="5"/>
  <c r="BM81" i="5" s="1"/>
  <c r="BS84" i="5"/>
  <c r="BM84" i="5" s="1"/>
  <c r="BR91" i="5"/>
  <c r="BL91" i="5" s="1"/>
  <c r="BQ114" i="5"/>
  <c r="BK114" i="5" s="1"/>
  <c r="BQ115" i="5"/>
  <c r="BK115" i="5" s="1"/>
  <c r="BS131" i="5"/>
  <c r="BM131" i="5" s="1"/>
  <c r="BS143" i="5"/>
  <c r="BM143" i="5" s="1"/>
  <c r="BQ29" i="5"/>
  <c r="BK29" i="5" s="1"/>
  <c r="BP28" i="5"/>
  <c r="BJ28" i="5" s="1"/>
  <c r="BQ16" i="5"/>
  <c r="BK16" i="5" s="1"/>
  <c r="BP40" i="5"/>
  <c r="BR42" i="5"/>
  <c r="BL42" i="5" s="1"/>
  <c r="BQ76" i="5"/>
  <c r="BK76" i="5" s="1"/>
  <c r="BP62" i="5"/>
  <c r="BJ62" i="5" s="1"/>
  <c r="BP79" i="5"/>
  <c r="BR77" i="5"/>
  <c r="BL77" i="5" s="1"/>
  <c r="BP110" i="5"/>
  <c r="BJ110" i="5" s="1"/>
  <c r="BQ123" i="5"/>
  <c r="BK123" i="5" s="1"/>
  <c r="BQ143" i="5"/>
  <c r="BK143" i="5" s="1"/>
  <c r="BR139" i="5"/>
  <c r="BL139" i="5" s="1"/>
  <c r="BR44" i="5"/>
  <c r="BL44" i="5" s="1"/>
  <c r="BQ76" i="4"/>
  <c r="BK76" i="4" s="1"/>
  <c r="BP33" i="4"/>
  <c r="BP79" i="4"/>
  <c r="BJ79" i="4" s="1"/>
  <c r="BS140" i="4"/>
  <c r="BM140" i="4" s="1"/>
  <c r="BQ29" i="4"/>
  <c r="BK29" i="4" s="1"/>
  <c r="BP84" i="4"/>
  <c r="BQ122" i="4"/>
  <c r="BK122" i="4" s="1"/>
  <c r="BP27" i="5"/>
  <c r="BJ27" i="5" s="1"/>
  <c r="BQ22" i="5"/>
  <c r="BK22" i="5" s="1"/>
  <c r="BQ64" i="5"/>
  <c r="BK64" i="5" s="1"/>
  <c r="BQ72" i="5"/>
  <c r="BK72" i="5" s="1"/>
  <c r="BR63" i="5"/>
  <c r="BL63" i="5" s="1"/>
  <c r="BQ93" i="5"/>
  <c r="BK93" i="5" s="1"/>
  <c r="BQ96" i="5"/>
  <c r="BK96" i="5" s="1"/>
  <c r="BS89" i="5"/>
  <c r="BM89" i="5" s="1"/>
  <c r="BR114" i="5"/>
  <c r="BL114" i="5" s="1"/>
  <c r="BP117" i="5"/>
  <c r="BJ117" i="5" s="1"/>
  <c r="BR117" i="5"/>
  <c r="BL117" i="5" s="1"/>
  <c r="BQ132" i="5"/>
  <c r="BK132" i="5" s="1"/>
  <c r="BQ15" i="5"/>
  <c r="BK15" i="5" s="1"/>
  <c r="BP4" i="5"/>
  <c r="BJ4" i="5" s="1"/>
  <c r="BP5" i="5"/>
  <c r="BJ5" i="5" s="1"/>
  <c r="BP44" i="5"/>
  <c r="BJ44" i="5" s="1"/>
  <c r="BP43" i="5"/>
  <c r="BJ43" i="5" s="1"/>
  <c r="BQ78" i="5"/>
  <c r="BK78" i="5" s="1"/>
  <c r="BP56" i="5"/>
  <c r="BJ56" i="5" s="1"/>
  <c r="BP83" i="5"/>
  <c r="BJ83" i="5" s="1"/>
  <c r="BP109" i="5"/>
  <c r="BJ109" i="5" s="1"/>
  <c r="BP107" i="5"/>
  <c r="BJ107" i="5" s="1"/>
  <c r="BS119" i="5"/>
  <c r="BM119" i="5" s="1"/>
  <c r="BT137" i="5"/>
  <c r="BN137" i="5" s="1"/>
  <c r="BS139" i="5"/>
  <c r="BM139" i="5" s="1"/>
  <c r="BR109" i="5"/>
  <c r="BL109" i="5" s="1"/>
  <c r="BR66" i="5"/>
  <c r="BL66" i="5" s="1"/>
  <c r="BP93" i="4"/>
  <c r="BJ93" i="4" s="1"/>
  <c r="BP127" i="4"/>
  <c r="BJ127" i="4" s="1"/>
  <c r="BQ38" i="5"/>
  <c r="BK38" i="5" s="1"/>
  <c r="BR16" i="5"/>
  <c r="BL16" i="5" s="1"/>
  <c r="BS42" i="5"/>
  <c r="BM42" i="5" s="1"/>
  <c r="BQ69" i="5"/>
  <c r="BK69" i="5" s="1"/>
  <c r="BP73" i="5"/>
  <c r="BR82" i="5"/>
  <c r="BL82" i="5" s="1"/>
  <c r="BQ98" i="5"/>
  <c r="BK98" i="5" s="1"/>
  <c r="BS91" i="5"/>
  <c r="BM91" i="5" s="1"/>
  <c r="BR108" i="5"/>
  <c r="BL108" i="5" s="1"/>
  <c r="BR127" i="5"/>
  <c r="BL127" i="5" s="1"/>
  <c r="BP29" i="5"/>
  <c r="BJ29" i="5" s="1"/>
  <c r="BP8" i="5"/>
  <c r="BJ8" i="5" s="1"/>
  <c r="BR14" i="5"/>
  <c r="BL14" i="5" s="1"/>
  <c r="BP10" i="5"/>
  <c r="BP59" i="5"/>
  <c r="BJ59" i="5" s="1"/>
  <c r="BQ41" i="5"/>
  <c r="BK41" i="5" s="1"/>
  <c r="BQ82" i="5"/>
  <c r="BK82" i="5" s="1"/>
  <c r="BP78" i="5"/>
  <c r="BJ78" i="5" s="1"/>
  <c r="BP101" i="5"/>
  <c r="BJ101" i="5" s="1"/>
  <c r="BR120" i="5"/>
  <c r="BL120" i="5" s="1"/>
  <c r="BR137" i="5"/>
  <c r="BL137" i="5" s="1"/>
  <c r="BP122" i="5"/>
  <c r="BJ122" i="5" s="1"/>
  <c r="BQ141" i="5"/>
  <c r="BK141" i="5" s="1"/>
  <c r="BP140" i="5"/>
  <c r="BJ140" i="5" s="1"/>
  <c r="BQ9" i="5"/>
  <c r="BK9" i="5" s="1"/>
  <c r="BQ68" i="5"/>
  <c r="BK68" i="5" s="1"/>
  <c r="BP74" i="5"/>
  <c r="BJ74" i="5" s="1"/>
  <c r="BQ57" i="5"/>
  <c r="BK57" i="5" s="1"/>
  <c r="BP104" i="5"/>
  <c r="BJ104" i="5" s="1"/>
  <c r="BR75" i="5"/>
  <c r="BL75" i="5" s="1"/>
  <c r="BP102" i="5"/>
  <c r="BJ102" i="5" s="1"/>
  <c r="BQ119" i="5"/>
  <c r="BK119" i="5" s="1"/>
  <c r="BR140" i="5"/>
  <c r="BL140" i="5" s="1"/>
  <c r="BP147" i="5"/>
  <c r="BJ147" i="5" s="1"/>
  <c r="BQ46" i="5"/>
  <c r="BK46" i="5" s="1"/>
  <c r="BQ49" i="5"/>
  <c r="BK49" i="5" s="1"/>
  <c r="BT140" i="5"/>
  <c r="BN140" i="5" s="1"/>
  <c r="BQ52" i="5"/>
  <c r="BK52" i="5" s="1"/>
  <c r="BR62" i="5"/>
  <c r="BL62" i="5" s="1"/>
  <c r="BS77" i="5"/>
  <c r="BM77" i="5" s="1"/>
  <c r="BQ20" i="5"/>
  <c r="BK20" i="5" s="1"/>
  <c r="BP21" i="5"/>
  <c r="BJ21" i="5" s="1"/>
  <c r="BP15" i="5"/>
  <c r="BJ15" i="5" s="1"/>
  <c r="BQ42" i="5"/>
  <c r="BK42" i="5" s="1"/>
  <c r="BP45" i="5"/>
  <c r="BJ45" i="5" s="1"/>
  <c r="BR56" i="5"/>
  <c r="BL56" i="5" s="1"/>
  <c r="BR74" i="5"/>
  <c r="BL74" i="5" s="1"/>
  <c r="BQ59" i="5"/>
  <c r="BK59" i="5" s="1"/>
  <c r="BP105" i="5"/>
  <c r="BJ105" i="5" s="1"/>
  <c r="BQ75" i="5"/>
  <c r="BK75" i="5" s="1"/>
  <c r="BQ104" i="5"/>
  <c r="BK104" i="5" s="1"/>
  <c r="BR101" i="5"/>
  <c r="BL101" i="5" s="1"/>
  <c r="BQ126" i="5"/>
  <c r="BK126" i="5" s="1"/>
  <c r="BQ125" i="5"/>
  <c r="BK125" i="5" s="1"/>
  <c r="BP128" i="5"/>
  <c r="BJ128" i="5" s="1"/>
  <c r="BS140" i="5"/>
  <c r="BM140" i="5" s="1"/>
  <c r="BQ139" i="5"/>
  <c r="BK139" i="5" s="1"/>
  <c r="BQ145" i="5"/>
  <c r="BK145" i="5" s="1"/>
  <c r="BQ71" i="5"/>
  <c r="BK71" i="5" s="1"/>
  <c r="BR113" i="5"/>
  <c r="BL113" i="5" s="1"/>
  <c r="BS43" i="5"/>
  <c r="BM43" i="5" s="1"/>
  <c r="BP96" i="5"/>
  <c r="BJ96" i="5" s="1"/>
  <c r="BP14" i="5"/>
  <c r="BJ14" i="5" s="1"/>
  <c r="BR28" i="5"/>
  <c r="BL28" i="5" s="1"/>
  <c r="BP20" i="5"/>
  <c r="BJ20" i="5" s="1"/>
  <c r="BQ44" i="5"/>
  <c r="BK44" i="5" s="1"/>
  <c r="BP48" i="5"/>
  <c r="BJ48" i="5" s="1"/>
  <c r="BP58" i="5"/>
  <c r="BJ58" i="5" s="1"/>
  <c r="BP60" i="5"/>
  <c r="BJ60" i="5" s="1"/>
  <c r="BP64" i="5"/>
  <c r="BP75" i="5"/>
  <c r="BJ75" i="5" s="1"/>
  <c r="BQ77" i="5"/>
  <c r="BK77" i="5" s="1"/>
  <c r="BP85" i="5"/>
  <c r="BJ85" i="5" s="1"/>
  <c r="BP103" i="5"/>
  <c r="BJ103" i="5" s="1"/>
  <c r="BP121" i="5"/>
  <c r="BJ121" i="5" s="1"/>
  <c r="BQ127" i="5"/>
  <c r="BK127" i="5" s="1"/>
  <c r="BP130" i="5"/>
  <c r="BJ130" i="5" s="1"/>
  <c r="BR143" i="5"/>
  <c r="BL143" i="5" s="1"/>
  <c r="BP142" i="5"/>
  <c r="BJ142" i="5" s="1"/>
  <c r="BR34" i="5"/>
  <c r="BL34" i="5" s="1"/>
  <c r="BR65" i="5"/>
  <c r="BL65" i="5" s="1"/>
  <c r="BR118" i="5"/>
  <c r="BL118" i="5" s="1"/>
  <c r="BQ11" i="5"/>
  <c r="BK11" i="5" s="1"/>
  <c r="BS142" i="5"/>
  <c r="BM142" i="5" s="1"/>
  <c r="BQ74" i="5"/>
  <c r="BK74" i="5" s="1"/>
  <c r="BS74" i="5"/>
  <c r="BM74" i="5" s="1"/>
  <c r="BP76" i="5"/>
  <c r="BJ76" i="5" s="1"/>
  <c r="BP77" i="5"/>
  <c r="BQ79" i="5"/>
  <c r="BK79" i="5" s="1"/>
  <c r="BP87" i="5"/>
  <c r="BJ87" i="5" s="1"/>
  <c r="BP108" i="5"/>
  <c r="BJ108" i="5" s="1"/>
  <c r="BP123" i="5"/>
  <c r="BJ123" i="5" s="1"/>
  <c r="BQ140" i="5"/>
  <c r="BK140" i="5" s="1"/>
  <c r="BP143" i="5"/>
  <c r="BJ143" i="5" s="1"/>
  <c r="BR138" i="5"/>
  <c r="BL138" i="5" s="1"/>
  <c r="BP137" i="5"/>
  <c r="BJ137" i="5" s="1"/>
  <c r="BQ26" i="5"/>
  <c r="BK26" i="5" s="1"/>
  <c r="BR73" i="5"/>
  <c r="BL73" i="5" s="1"/>
  <c r="BS125" i="5"/>
  <c r="BM125" i="5" s="1"/>
  <c r="BP24" i="5"/>
  <c r="BJ24" i="5" s="1"/>
  <c r="BQ103" i="5"/>
  <c r="BK103" i="5" s="1"/>
  <c r="BQ120" i="5"/>
  <c r="BK120" i="5" s="1"/>
  <c r="BP131" i="5"/>
  <c r="BJ131" i="5" s="1"/>
  <c r="BR121" i="5"/>
  <c r="BL121" i="5" s="1"/>
  <c r="BP132" i="5"/>
  <c r="BQ138" i="5"/>
  <c r="BK138" i="5" s="1"/>
  <c r="BP139" i="5"/>
  <c r="BJ139" i="5" s="1"/>
  <c r="BQ142" i="5"/>
  <c r="BK142" i="5" s="1"/>
  <c r="BQ23" i="5"/>
  <c r="BK23" i="5" s="1"/>
  <c r="BQ55" i="5"/>
  <c r="BK55" i="5" s="1"/>
  <c r="BQ99" i="5"/>
  <c r="BK99" i="5" s="1"/>
  <c r="BP39" i="5"/>
  <c r="BJ39" i="5" s="1"/>
  <c r="BP18" i="5"/>
  <c r="BJ18" i="5" s="1"/>
  <c r="BQ85" i="5"/>
  <c r="BK85" i="5" s="1"/>
  <c r="BP94" i="5"/>
  <c r="BJ94" i="5" s="1"/>
  <c r="BQ124" i="5"/>
  <c r="BK124" i="5" s="1"/>
  <c r="BP119" i="5"/>
  <c r="BJ119" i="5" s="1"/>
  <c r="BQ121" i="5"/>
  <c r="BK121" i="5" s="1"/>
  <c r="BP120" i="5"/>
  <c r="BJ120" i="5" s="1"/>
  <c r="BS137" i="5"/>
  <c r="BM137" i="5" s="1"/>
  <c r="BP141" i="5"/>
  <c r="BJ141" i="5" s="1"/>
  <c r="BQ144" i="5"/>
  <c r="BK144" i="5" s="1"/>
  <c r="BR31" i="5"/>
  <c r="BL31" i="5" s="1"/>
  <c r="BR68" i="5"/>
  <c r="BL68" i="5" s="1"/>
  <c r="BQ100" i="5"/>
  <c r="BK100" i="5" s="1"/>
  <c r="BQ37" i="5"/>
  <c r="BK37" i="5" s="1"/>
  <c r="BQ36" i="5"/>
  <c r="BK36" i="5" s="1"/>
  <c r="BQ107" i="5"/>
  <c r="BK107" i="5" s="1"/>
  <c r="BP55" i="5"/>
  <c r="BJ55" i="5" s="1"/>
  <c r="BR70" i="5"/>
  <c r="BL70" i="5" s="1"/>
  <c r="BQ116" i="5"/>
  <c r="BK116" i="5" s="1"/>
  <c r="BQ33" i="5"/>
  <c r="BK33" i="5" s="1"/>
  <c r="BQ24" i="5"/>
  <c r="BK24" i="5" s="1"/>
  <c r="BP69" i="5"/>
  <c r="BJ69" i="5" s="1"/>
  <c r="BR60" i="5"/>
  <c r="BL60" i="5" s="1"/>
  <c r="BP112" i="5"/>
  <c r="BJ112" i="5" s="1"/>
  <c r="BR125" i="5"/>
  <c r="BL125" i="5" s="1"/>
  <c r="BR64" i="5"/>
  <c r="BL64" i="5" s="1"/>
  <c r="BS90" i="5"/>
  <c r="BM90" i="5" s="1"/>
  <c r="BS130" i="5"/>
  <c r="BM130" i="5" s="1"/>
  <c r="BR17" i="5"/>
  <c r="BL17" i="5" s="1"/>
  <c r="BQ18" i="5"/>
  <c r="BK18" i="5" s="1"/>
  <c r="BP52" i="5"/>
  <c r="BJ52" i="5" s="1"/>
  <c r="BR80" i="5"/>
  <c r="BL80" i="5" s="1"/>
  <c r="BP135" i="5"/>
  <c r="BJ135" i="5" s="1"/>
  <c r="BS146" i="5"/>
  <c r="BM146" i="5" s="1"/>
  <c r="BS45" i="5"/>
  <c r="BM45" i="5" s="1"/>
  <c r="BQ45" i="5"/>
  <c r="BK45" i="5" s="1"/>
  <c r="BQ86" i="5"/>
  <c r="BK86" i="5" s="1"/>
  <c r="BP36" i="5"/>
  <c r="BJ36" i="5" s="1"/>
  <c r="BP66" i="5"/>
  <c r="BJ66" i="5" s="1"/>
  <c r="BP116" i="5"/>
  <c r="BJ116" i="5" s="1"/>
  <c r="BR110" i="5"/>
  <c r="BL110" i="5" s="1"/>
  <c r="BQ97" i="5"/>
  <c r="BK97" i="5" s="1"/>
  <c r="BR115" i="5"/>
  <c r="BL115" i="5" s="1"/>
  <c r="BR15" i="5"/>
  <c r="BL15" i="5" s="1"/>
  <c r="BR36" i="5"/>
  <c r="BL36" i="5" s="1"/>
  <c r="BP25" i="5"/>
  <c r="BS41" i="5"/>
  <c r="BM41" i="5" s="1"/>
  <c r="BP51" i="5"/>
  <c r="BJ51" i="5" s="1"/>
  <c r="BP37" i="5"/>
  <c r="BP71" i="5"/>
  <c r="BJ71" i="5" s="1"/>
  <c r="BR85" i="5"/>
  <c r="BL85" i="5" s="1"/>
  <c r="BR78" i="5"/>
  <c r="BL78" i="5" s="1"/>
  <c r="BQ83" i="5"/>
  <c r="BK83" i="5" s="1"/>
  <c r="BR105" i="5"/>
  <c r="BL105" i="5" s="1"/>
  <c r="BQ113" i="5"/>
  <c r="BK113" i="5" s="1"/>
  <c r="BS145" i="5"/>
  <c r="BM145" i="5" s="1"/>
  <c r="BS141" i="5"/>
  <c r="BM141" i="5" s="1"/>
  <c r="BT146" i="5"/>
  <c r="BN146" i="5" s="1"/>
  <c r="BS85" i="5"/>
  <c r="BM85" i="5" s="1"/>
  <c r="BQ110" i="5"/>
  <c r="BK110" i="5" s="1"/>
  <c r="BS127" i="5"/>
  <c r="BM127" i="5" s="1"/>
  <c r="BQ34" i="5"/>
  <c r="BK34" i="5" s="1"/>
  <c r="BP12" i="5"/>
  <c r="BQ6" i="5"/>
  <c r="BK6" i="5" s="1"/>
  <c r="BR57" i="5"/>
  <c r="BL57" i="5" s="1"/>
  <c r="BQ89" i="5"/>
  <c r="BK89" i="5" s="1"/>
  <c r="BR43" i="5"/>
  <c r="BL43" i="5" s="1"/>
  <c r="BP68" i="5"/>
  <c r="BP70" i="5"/>
  <c r="BJ70" i="5" s="1"/>
  <c r="BQ88" i="5"/>
  <c r="BK88" i="5" s="1"/>
  <c r="BS88" i="5"/>
  <c r="BM88" i="5" s="1"/>
  <c r="BP115" i="5"/>
  <c r="BJ115" i="5" s="1"/>
  <c r="BR134" i="5"/>
  <c r="BL134" i="5" s="1"/>
  <c r="BQ146" i="5"/>
  <c r="BK146" i="5" s="1"/>
  <c r="BP136" i="5"/>
  <c r="BR45" i="5"/>
  <c r="BL45" i="5" s="1"/>
  <c r="BS83" i="5"/>
  <c r="BM83" i="5" s="1"/>
  <c r="BQ84" i="5"/>
  <c r="BK84" i="5" s="1"/>
  <c r="BS78" i="5"/>
  <c r="BM78" i="5" s="1"/>
  <c r="BP89" i="5"/>
  <c r="BJ89" i="5" s="1"/>
  <c r="BP88" i="5"/>
  <c r="BJ88" i="5" s="1"/>
  <c r="BR145" i="5"/>
  <c r="BL145" i="5" s="1"/>
  <c r="BS148" i="5"/>
  <c r="BM148" i="5" s="1"/>
  <c r="BT141" i="5"/>
  <c r="BN141" i="5" s="1"/>
  <c r="BR71" i="5"/>
  <c r="BL71" i="5" s="1"/>
  <c r="BS80" i="5"/>
  <c r="BM80" i="5" s="1"/>
  <c r="BP100" i="5"/>
  <c r="BR116" i="5"/>
  <c r="BL116" i="5" s="1"/>
  <c r="BS135" i="5"/>
  <c r="BM135" i="5" s="1"/>
  <c r="BR18" i="5"/>
  <c r="BL18" i="5" s="1"/>
  <c r="BP6" i="5"/>
  <c r="BJ6" i="5" s="1"/>
  <c r="BQ21" i="5"/>
  <c r="BK21" i="5" s="1"/>
  <c r="BQ39" i="5"/>
  <c r="BK39" i="5" s="1"/>
  <c r="BR46" i="5"/>
  <c r="BL46" i="5" s="1"/>
  <c r="BQ50" i="5"/>
  <c r="BK50" i="5" s="1"/>
  <c r="BQ90" i="5"/>
  <c r="BK90" i="5" s="1"/>
  <c r="BP67" i="5"/>
  <c r="BR88" i="5"/>
  <c r="BL88" i="5" s="1"/>
  <c r="BP91" i="5"/>
  <c r="BJ91" i="5" s="1"/>
  <c r="BR130" i="5"/>
  <c r="BL130" i="5" s="1"/>
  <c r="BQ131" i="5"/>
  <c r="BK131" i="5" s="1"/>
  <c r="BQ133" i="5"/>
  <c r="BK133" i="5" s="1"/>
  <c r="BQ65" i="5"/>
  <c r="BK65" i="5" s="1"/>
  <c r="BS82" i="5"/>
  <c r="BM82" i="5" s="1"/>
  <c r="BR107" i="5"/>
  <c r="BL107" i="5" s="1"/>
  <c r="BR32" i="5"/>
  <c r="BL32" i="5" s="1"/>
  <c r="BR29" i="5"/>
  <c r="BL29" i="5" s="1"/>
  <c r="BP11" i="5"/>
  <c r="BQ5" i="5"/>
  <c r="BK5" i="5" s="1"/>
  <c r="BP46" i="5"/>
  <c r="BJ46" i="5" s="1"/>
  <c r="BS46" i="5"/>
  <c r="BM46" i="5" s="1"/>
  <c r="BQ61" i="5"/>
  <c r="BK61" i="5" s="1"/>
  <c r="BQ60" i="5"/>
  <c r="BK60" i="5" s="1"/>
  <c r="BQ67" i="5"/>
  <c r="BK67" i="5" s="1"/>
  <c r="BQ95" i="5"/>
  <c r="BK95" i="5" s="1"/>
  <c r="BP95" i="5"/>
  <c r="BP111" i="5"/>
  <c r="BR123" i="5"/>
  <c r="BL123" i="5" s="1"/>
  <c r="BR146" i="5"/>
  <c r="BL146" i="5" s="1"/>
  <c r="BQ66" i="5"/>
  <c r="BK66" i="5" s="1"/>
  <c r="BS75" i="5"/>
  <c r="BM75" i="5" s="1"/>
  <c r="BR90" i="5"/>
  <c r="BL90" i="5" s="1"/>
  <c r="BR124" i="5"/>
  <c r="BL124" i="5" s="1"/>
  <c r="BR102" i="5"/>
  <c r="BL102" i="5" s="1"/>
  <c r="BQ128" i="5"/>
  <c r="BK128" i="5" s="1"/>
  <c r="BR129" i="5"/>
  <c r="BL129" i="5" s="1"/>
  <c r="BT138" i="5"/>
  <c r="BN138" i="5" s="1"/>
  <c r="BQ62" i="5"/>
  <c r="BK62" i="5" s="1"/>
  <c r="BR84" i="5"/>
  <c r="BL84" i="5" s="1"/>
  <c r="BR128" i="5"/>
  <c r="BL128" i="5" s="1"/>
  <c r="BQ112" i="5"/>
  <c r="BK112" i="5" s="1"/>
  <c r="BP113" i="5"/>
  <c r="BJ113" i="5" s="1"/>
  <c r="BQ130" i="5"/>
  <c r="BK130" i="5" s="1"/>
  <c r="BS123" i="5"/>
  <c r="BM123" i="5" s="1"/>
  <c r="BR135" i="5"/>
  <c r="BL135" i="5" s="1"/>
  <c r="BS144" i="5"/>
  <c r="BM144" i="5" s="1"/>
  <c r="BR147" i="5"/>
  <c r="BL147" i="5" s="1"/>
  <c r="BP50" i="5"/>
  <c r="BR111" i="5"/>
  <c r="BL111" i="5" s="1"/>
  <c r="BR79" i="5"/>
  <c r="BL79" i="5" s="1"/>
  <c r="BR89" i="5"/>
  <c r="BL89" i="5" s="1"/>
  <c r="BQ106" i="5"/>
  <c r="BK106" i="5" s="1"/>
  <c r="BS128" i="5"/>
  <c r="BM128" i="5" s="1"/>
  <c r="BP133" i="5"/>
  <c r="BJ133" i="5" s="1"/>
  <c r="BS133" i="5"/>
  <c r="BM133" i="5" s="1"/>
  <c r="BQ136" i="5"/>
  <c r="BK136" i="5" s="1"/>
  <c r="BP148" i="5"/>
  <c r="BJ148" i="5" s="1"/>
  <c r="BP134" i="5"/>
  <c r="BJ134" i="5" s="1"/>
  <c r="BR83" i="5"/>
  <c r="BL83" i="5" s="1"/>
  <c r="BP114" i="5"/>
  <c r="BJ114" i="5" s="1"/>
  <c r="BP97" i="5"/>
  <c r="BQ111" i="5"/>
  <c r="BK111" i="5" s="1"/>
  <c r="BR133" i="5"/>
  <c r="BL133" i="5" s="1"/>
  <c r="BQ148" i="5"/>
  <c r="BK148" i="5" s="1"/>
  <c r="BQ135" i="5"/>
  <c r="BK135" i="5" s="1"/>
  <c r="BR144" i="5"/>
  <c r="BL144" i="5" s="1"/>
  <c r="BQ134" i="5"/>
  <c r="BK134" i="5" s="1"/>
  <c r="BQ91" i="5"/>
  <c r="BK91" i="5" s="1"/>
  <c r="BS120" i="5"/>
  <c r="BM120" i="5" s="1"/>
  <c r="BP90" i="5"/>
  <c r="BJ90" i="5" s="1"/>
  <c r="BQ105" i="5"/>
  <c r="BK105" i="5" s="1"/>
  <c r="BQ129" i="5"/>
  <c r="BK129" i="5" s="1"/>
  <c r="BR148" i="5"/>
  <c r="BL148" i="5" s="1"/>
  <c r="BT148" i="5"/>
  <c r="BN148" i="5" s="1"/>
  <c r="BQ147" i="5"/>
  <c r="BK147" i="5" s="1"/>
  <c r="BT144" i="5"/>
  <c r="BN144" i="5" s="1"/>
  <c r="BO12" i="4"/>
  <c r="F7" i="14"/>
  <c r="BI27" i="5" l="1"/>
  <c r="BI95" i="4"/>
  <c r="BI17" i="4"/>
  <c r="BI67" i="4"/>
  <c r="BI9" i="4"/>
  <c r="BO67" i="4"/>
  <c r="BI68" i="4"/>
  <c r="BO131" i="4"/>
  <c r="BO39" i="4"/>
  <c r="BI39" i="4"/>
  <c r="BI65" i="4"/>
  <c r="BI133" i="4"/>
  <c r="BI24" i="4"/>
  <c r="BI26" i="4"/>
  <c r="BI12" i="4"/>
  <c r="BO95" i="4"/>
  <c r="BO51" i="4"/>
  <c r="BO133" i="4"/>
  <c r="BO129" i="4"/>
  <c r="BI32" i="4"/>
  <c r="BI93" i="4"/>
  <c r="BI105" i="4"/>
  <c r="BO108" i="4"/>
  <c r="BO105" i="4"/>
  <c r="BI31" i="4"/>
  <c r="BO93" i="4"/>
  <c r="BO18" i="4"/>
  <c r="BI6" i="4"/>
  <c r="BI18" i="4"/>
  <c r="BO6" i="4"/>
  <c r="BO46" i="4"/>
  <c r="BJ46" i="4"/>
  <c r="BI46" i="4" s="1"/>
  <c r="BO128" i="4"/>
  <c r="BO59" i="4"/>
  <c r="BI57" i="4"/>
  <c r="BI50" i="4"/>
  <c r="BJ128" i="4"/>
  <c r="BI128" i="4" s="1"/>
  <c r="BO57" i="4"/>
  <c r="BO50" i="4"/>
  <c r="BI88" i="4"/>
  <c r="BO24" i="4"/>
  <c r="BO112" i="4"/>
  <c r="BJ59" i="4"/>
  <c r="BI59" i="4" s="1"/>
  <c r="BI60" i="4"/>
  <c r="BI10" i="4"/>
  <c r="BI85" i="4"/>
  <c r="BO48" i="4"/>
  <c r="BO22" i="4"/>
  <c r="BO85" i="4"/>
  <c r="BI21" i="4"/>
  <c r="BO21" i="4"/>
  <c r="BO146" i="4"/>
  <c r="BO147" i="4"/>
  <c r="BI13" i="4"/>
  <c r="BO11" i="4"/>
  <c r="BI25" i="4"/>
  <c r="BI112" i="4"/>
  <c r="BI118" i="4"/>
  <c r="BO12" i="5"/>
  <c r="BI83" i="4"/>
  <c r="BO45" i="4"/>
  <c r="BI98" i="4"/>
  <c r="BO49" i="4"/>
  <c r="BO54" i="4"/>
  <c r="BO83" i="4"/>
  <c r="BO43" i="4"/>
  <c r="BI148" i="4"/>
  <c r="BI36" i="4"/>
  <c r="BO136" i="4"/>
  <c r="BO36" i="4"/>
  <c r="BI96" i="4"/>
  <c r="BI38" i="4"/>
  <c r="BO25" i="4"/>
  <c r="BO5" i="4"/>
  <c r="BO96" i="4"/>
  <c r="BO88" i="4"/>
  <c r="BO117" i="4"/>
  <c r="BO37" i="4"/>
  <c r="BJ37" i="4"/>
  <c r="BI37" i="4" s="1"/>
  <c r="BO30" i="4"/>
  <c r="BO60" i="4"/>
  <c r="BJ117" i="4"/>
  <c r="BI117" i="4" s="1"/>
  <c r="BO13" i="4"/>
  <c r="BO17" i="4"/>
  <c r="BJ147" i="4"/>
  <c r="BI147" i="4" s="1"/>
  <c r="BJ129" i="4"/>
  <c r="BI129" i="4" s="1"/>
  <c r="BI66" i="4"/>
  <c r="BI113" i="4"/>
  <c r="BO66" i="4"/>
  <c r="BO15" i="4"/>
  <c r="BO123" i="4"/>
  <c r="BO16" i="4"/>
  <c r="BI73" i="4"/>
  <c r="BI108" i="4"/>
  <c r="BJ11" i="4"/>
  <c r="BI11" i="4" s="1"/>
  <c r="BO113" i="4"/>
  <c r="BO23" i="4"/>
  <c r="BO72" i="4"/>
  <c r="BI99" i="4"/>
  <c r="BO42" i="4"/>
  <c r="BI70" i="4"/>
  <c r="BJ72" i="4"/>
  <c r="BI72" i="4" s="1"/>
  <c r="BI111" i="4"/>
  <c r="BI78" i="4"/>
  <c r="BO99" i="4"/>
  <c r="BO111" i="4"/>
  <c r="BO73" i="4"/>
  <c r="BI61" i="4"/>
  <c r="BO78" i="4"/>
  <c r="BO26" i="4"/>
  <c r="BO33" i="4"/>
  <c r="BI42" i="4"/>
  <c r="BO61" i="4"/>
  <c r="BI27" i="4"/>
  <c r="BO68" i="4"/>
  <c r="BI136" i="4"/>
  <c r="BI134" i="4"/>
  <c r="BI43" i="4"/>
  <c r="BI15" i="4"/>
  <c r="BI107" i="4"/>
  <c r="BI51" i="4"/>
  <c r="BO118" i="4"/>
  <c r="BO134" i="4"/>
  <c r="BI87" i="4"/>
  <c r="BI45" i="4"/>
  <c r="BJ48" i="4"/>
  <c r="BI48" i="4" s="1"/>
  <c r="BI124" i="4"/>
  <c r="BI30" i="4"/>
  <c r="BO90" i="4"/>
  <c r="BO34" i="4"/>
  <c r="BO99" i="5"/>
  <c r="BO132" i="5"/>
  <c r="BI49" i="4"/>
  <c r="BI77" i="4"/>
  <c r="BI89" i="4"/>
  <c r="BO87" i="4"/>
  <c r="BO89" i="4"/>
  <c r="BO63" i="4"/>
  <c r="BO77" i="5"/>
  <c r="BI127" i="4"/>
  <c r="BO13" i="5"/>
  <c r="BJ22" i="4"/>
  <c r="BI22" i="4" s="1"/>
  <c r="BI63" i="4"/>
  <c r="BO80" i="4"/>
  <c r="BO148" i="4"/>
  <c r="BO28" i="4"/>
  <c r="BO138" i="4"/>
  <c r="BI34" i="4"/>
  <c r="BI71" i="4"/>
  <c r="BI90" i="4"/>
  <c r="BO38" i="4"/>
  <c r="BO115" i="4"/>
  <c r="BO98" i="4"/>
  <c r="BI28" i="4"/>
  <c r="BI115" i="4"/>
  <c r="BI54" i="4"/>
  <c r="BO124" i="4"/>
  <c r="BO77" i="4"/>
  <c r="BO84" i="4"/>
  <c r="BO71" i="4"/>
  <c r="BO109" i="4"/>
  <c r="BI141" i="4"/>
  <c r="BO32" i="4"/>
  <c r="BO94" i="4"/>
  <c r="BI69" i="4"/>
  <c r="BI94" i="4"/>
  <c r="BO10" i="4"/>
  <c r="BI59" i="5"/>
  <c r="BI144" i="4"/>
  <c r="BI101" i="4"/>
  <c r="BO127" i="4"/>
  <c r="BO69" i="4"/>
  <c r="BO144" i="4"/>
  <c r="BO25" i="5"/>
  <c r="BI132" i="4"/>
  <c r="BO135" i="4"/>
  <c r="BO52" i="4"/>
  <c r="BI52" i="4"/>
  <c r="BO141" i="4"/>
  <c r="BO132" i="4"/>
  <c r="BO54" i="5"/>
  <c r="BO31" i="4"/>
  <c r="BO20" i="4"/>
  <c r="BO106" i="4"/>
  <c r="BI135" i="4"/>
  <c r="BJ13" i="5"/>
  <c r="BI13" i="5" s="1"/>
  <c r="BO62" i="4"/>
  <c r="BI82" i="4"/>
  <c r="BO101" i="4"/>
  <c r="BO82" i="4"/>
  <c r="BI81" i="4"/>
  <c r="BO142" i="4"/>
  <c r="BO65" i="4"/>
  <c r="BJ20" i="4"/>
  <c r="BI20" i="4" s="1"/>
  <c r="BJ5" i="4"/>
  <c r="BI5" i="4" s="1"/>
  <c r="BO9" i="4"/>
  <c r="BO81" i="4"/>
  <c r="BI91" i="4"/>
  <c r="BO91" i="4"/>
  <c r="BO110" i="4"/>
  <c r="BJ106" i="4"/>
  <c r="BI106" i="4" s="1"/>
  <c r="BI121" i="4"/>
  <c r="BI110" i="4"/>
  <c r="BO121" i="4"/>
  <c r="BJ54" i="5"/>
  <c r="BI54" i="5" s="1"/>
  <c r="BO10" i="5"/>
  <c r="BI131" i="4"/>
  <c r="BI142" i="4"/>
  <c r="BI35" i="4"/>
  <c r="BO35" i="4"/>
  <c r="BI100" i="4"/>
  <c r="BO86" i="4"/>
  <c r="BI53" i="4"/>
  <c r="BI97" i="4"/>
  <c r="BI114" i="4"/>
  <c r="BO100" i="4"/>
  <c r="BO140" i="4"/>
  <c r="BI140" i="4"/>
  <c r="BO97" i="4"/>
  <c r="BO114" i="4"/>
  <c r="BI86" i="4"/>
  <c r="BO119" i="4"/>
  <c r="BI119" i="4"/>
  <c r="BO107" i="4"/>
  <c r="BO53" i="4"/>
  <c r="BI80" i="4"/>
  <c r="BO64" i="4"/>
  <c r="BO27" i="4"/>
  <c r="BI126" i="4"/>
  <c r="BO28" i="5"/>
  <c r="BO126" i="4"/>
  <c r="BI145" i="4"/>
  <c r="BI64" i="4"/>
  <c r="BO145" i="4"/>
  <c r="BO41" i="4"/>
  <c r="BO70" i="4"/>
  <c r="BO40" i="4"/>
  <c r="BI28" i="5"/>
  <c r="BI23" i="4"/>
  <c r="BI116" i="4"/>
  <c r="BJ40" i="4"/>
  <c r="BI40" i="4" s="1"/>
  <c r="BO59" i="5"/>
  <c r="BJ77" i="5"/>
  <c r="BI77" i="5" s="1"/>
  <c r="BO116" i="4"/>
  <c r="BI55" i="4"/>
  <c r="BO55" i="4"/>
  <c r="BO130" i="4"/>
  <c r="BI61" i="5"/>
  <c r="BO61" i="5"/>
  <c r="BI63" i="5"/>
  <c r="BJ16" i="4"/>
  <c r="BI16" i="4" s="1"/>
  <c r="BI143" i="4"/>
  <c r="BI75" i="4"/>
  <c r="BO143" i="4"/>
  <c r="BO75" i="4"/>
  <c r="BI35" i="5"/>
  <c r="BO76" i="5"/>
  <c r="BO35" i="5"/>
  <c r="BO63" i="5"/>
  <c r="BI98" i="5"/>
  <c r="BJ123" i="4"/>
  <c r="BI123" i="4" s="1"/>
  <c r="BI4" i="4"/>
  <c r="BO4" i="4"/>
  <c r="BI44" i="4"/>
  <c r="BJ41" i="4"/>
  <c r="BI41" i="4" s="1"/>
  <c r="BO102" i="4"/>
  <c r="BO79" i="4"/>
  <c r="BJ138" i="4"/>
  <c r="BI138" i="4" s="1"/>
  <c r="BO103" i="4"/>
  <c r="BI79" i="4"/>
  <c r="BI102" i="4"/>
  <c r="BI103" i="4"/>
  <c r="BO44" i="4"/>
  <c r="BO51" i="5"/>
  <c r="BI137" i="4"/>
  <c r="BI8" i="4"/>
  <c r="BO137" i="4"/>
  <c r="BO93" i="5"/>
  <c r="BI20" i="5"/>
  <c r="BO34" i="5"/>
  <c r="BO72" i="5"/>
  <c r="BI58" i="4"/>
  <c r="BO56" i="4"/>
  <c r="BJ109" i="4"/>
  <c r="BI109" i="4" s="1"/>
  <c r="BI16" i="5"/>
  <c r="BO8" i="4"/>
  <c r="BO58" i="5"/>
  <c r="BI87" i="5"/>
  <c r="BO40" i="5"/>
  <c r="BJ56" i="4"/>
  <c r="BI56" i="4" s="1"/>
  <c r="BO58" i="4"/>
  <c r="BI8" i="5"/>
  <c r="BJ132" i="5"/>
  <c r="BI132" i="5" s="1"/>
  <c r="BO4" i="5"/>
  <c r="BI58" i="5"/>
  <c r="BO8" i="5"/>
  <c r="BJ72" i="5"/>
  <c r="BI72" i="5" s="1"/>
  <c r="BI53" i="5"/>
  <c r="BO30" i="5"/>
  <c r="BO125" i="4"/>
  <c r="BI94" i="5"/>
  <c r="BO53" i="5"/>
  <c r="BO17" i="5"/>
  <c r="BJ84" i="4"/>
  <c r="BI84" i="4" s="1"/>
  <c r="BI32" i="5"/>
  <c r="BO120" i="4"/>
  <c r="BO87" i="5"/>
  <c r="BJ30" i="5"/>
  <c r="BI30" i="5" s="1"/>
  <c r="BO97" i="5"/>
  <c r="BJ125" i="4"/>
  <c r="BI125" i="4" s="1"/>
  <c r="BI120" i="4"/>
  <c r="BI122" i="5"/>
  <c r="BI143" i="5"/>
  <c r="BI96" i="5"/>
  <c r="BO122" i="5"/>
  <c r="BI145" i="5"/>
  <c r="BJ40" i="5"/>
  <c r="BI40" i="5" s="1"/>
  <c r="BO118" i="5"/>
  <c r="BI70" i="5"/>
  <c r="BI119" i="5"/>
  <c r="BJ62" i="4"/>
  <c r="BI62" i="4" s="1"/>
  <c r="BO145" i="5"/>
  <c r="BI118" i="5"/>
  <c r="BO68" i="5"/>
  <c r="BJ68" i="5"/>
  <c r="BI68" i="5" s="1"/>
  <c r="BO73" i="5"/>
  <c r="BI62" i="5"/>
  <c r="BO104" i="4"/>
  <c r="BI6" i="5"/>
  <c r="BJ104" i="4"/>
  <c r="BI104" i="4" s="1"/>
  <c r="BI139" i="4"/>
  <c r="BJ130" i="4"/>
  <c r="BI130" i="4" s="1"/>
  <c r="BO14" i="4"/>
  <c r="BI17" i="5"/>
  <c r="BO139" i="4"/>
  <c r="BO23" i="5"/>
  <c r="BI81" i="5"/>
  <c r="BI23" i="5"/>
  <c r="BI103" i="5"/>
  <c r="BI4" i="5"/>
  <c r="BO103" i="5"/>
  <c r="BI74" i="4"/>
  <c r="BI14" i="4"/>
  <c r="BO76" i="4"/>
  <c r="BO81" i="5"/>
  <c r="BJ73" i="5"/>
  <c r="BI73" i="5" s="1"/>
  <c r="BI14" i="5"/>
  <c r="BO74" i="4"/>
  <c r="BO98" i="5"/>
  <c r="BJ12" i="5"/>
  <c r="BI12" i="5" s="1"/>
  <c r="BI113" i="5"/>
  <c r="BJ33" i="4"/>
  <c r="BI33" i="4" s="1"/>
  <c r="BI41" i="5"/>
  <c r="BI82" i="5"/>
  <c r="BI51" i="5"/>
  <c r="BO32" i="5"/>
  <c r="BI109" i="5"/>
  <c r="BO96" i="5"/>
  <c r="BO117" i="5"/>
  <c r="BO143" i="5"/>
  <c r="BJ10" i="5"/>
  <c r="BI10" i="5" s="1"/>
  <c r="BI52" i="5"/>
  <c r="BI48" i="5"/>
  <c r="BO36" i="5"/>
  <c r="BO56" i="5"/>
  <c r="BO37" i="5"/>
  <c r="BI117" i="5"/>
  <c r="BO52" i="5"/>
  <c r="BI76" i="5"/>
  <c r="BO136" i="5"/>
  <c r="BI121" i="5"/>
  <c r="BI74" i="5"/>
  <c r="BI101" i="5"/>
  <c r="BO44" i="5"/>
  <c r="BO142" i="5"/>
  <c r="BI49" i="5"/>
  <c r="BI142" i="5"/>
  <c r="BO49" i="5"/>
  <c r="BI33" i="5"/>
  <c r="BO67" i="5"/>
  <c r="BI88" i="5"/>
  <c r="BI102" i="5"/>
  <c r="BO27" i="5"/>
  <c r="BO102" i="5"/>
  <c r="BI69" i="5"/>
  <c r="BI44" i="5"/>
  <c r="BO69" i="5"/>
  <c r="BI15" i="5"/>
  <c r="BI29" i="5"/>
  <c r="BO112" i="5"/>
  <c r="BI127" i="5"/>
  <c r="BO100" i="5"/>
  <c r="BO90" i="5"/>
  <c r="BO116" i="5"/>
  <c r="BO6" i="5"/>
  <c r="BO48" i="5"/>
  <c r="BO95" i="5"/>
  <c r="BJ146" i="4"/>
  <c r="BI146" i="4" s="1"/>
  <c r="BI122" i="4"/>
  <c r="BO94" i="5"/>
  <c r="BO125" i="5"/>
  <c r="BO31" i="5"/>
  <c r="BO122" i="4"/>
  <c r="BO101" i="5"/>
  <c r="BI135" i="5"/>
  <c r="BI141" i="5"/>
  <c r="BI18" i="5"/>
  <c r="BI107" i="5"/>
  <c r="BI45" i="5"/>
  <c r="BO42" i="5"/>
  <c r="BI120" i="5"/>
  <c r="BJ136" i="5"/>
  <c r="BI136" i="5" s="1"/>
  <c r="BI42" i="5"/>
  <c r="BI114" i="5"/>
  <c r="BI90" i="5"/>
  <c r="BI116" i="5"/>
  <c r="BO107" i="5"/>
  <c r="BO9" i="5"/>
  <c r="BO82" i="5"/>
  <c r="BO38" i="5"/>
  <c r="BO50" i="5"/>
  <c r="BI29" i="4"/>
  <c r="BO41" i="5"/>
  <c r="BO141" i="5"/>
  <c r="BI93" i="5"/>
  <c r="BJ37" i="5"/>
  <c r="BI37" i="5" s="1"/>
  <c r="BO16" i="5"/>
  <c r="BJ97" i="5"/>
  <c r="BI97" i="5" s="1"/>
  <c r="BO113" i="5"/>
  <c r="BO57" i="5"/>
  <c r="BI108" i="5"/>
  <c r="BI78" i="5"/>
  <c r="BO26" i="5"/>
  <c r="BJ67" i="5"/>
  <c r="BI67" i="5" s="1"/>
  <c r="BO20" i="5"/>
  <c r="BJ100" i="5"/>
  <c r="BI100" i="5" s="1"/>
  <c r="BI46" i="5"/>
  <c r="BO29" i="4"/>
  <c r="BI110" i="5"/>
  <c r="BO108" i="5"/>
  <c r="BI65" i="5"/>
  <c r="BI26" i="5"/>
  <c r="BO135" i="5"/>
  <c r="BO138" i="5"/>
  <c r="BO110" i="5"/>
  <c r="BO65" i="5"/>
  <c r="BO146" i="5"/>
  <c r="BI60" i="5"/>
  <c r="BI57" i="5"/>
  <c r="BI138" i="5"/>
  <c r="BI84" i="5"/>
  <c r="BI9" i="5"/>
  <c r="BO104" i="5"/>
  <c r="BI38" i="5"/>
  <c r="BI139" i="5"/>
  <c r="BI99" i="5"/>
  <c r="BI146" i="5"/>
  <c r="BO21" i="5"/>
  <c r="BJ95" i="5"/>
  <c r="BI95" i="5" s="1"/>
  <c r="BO33" i="5"/>
  <c r="BI36" i="5"/>
  <c r="BO79" i="5"/>
  <c r="BO45" i="5"/>
  <c r="BI104" i="5"/>
  <c r="BO62" i="5"/>
  <c r="BI21" i="5"/>
  <c r="BO15" i="5"/>
  <c r="BO139" i="5"/>
  <c r="BO121" i="5"/>
  <c r="BO74" i="5"/>
  <c r="BI125" i="5"/>
  <c r="BO29" i="5"/>
  <c r="BI56" i="5"/>
  <c r="BI24" i="5"/>
  <c r="BI31" i="5"/>
  <c r="BO11" i="5"/>
  <c r="BO91" i="5"/>
  <c r="BO24" i="5"/>
  <c r="BI137" i="5"/>
  <c r="BO18" i="5"/>
  <c r="BO70" i="5"/>
  <c r="BO120" i="5"/>
  <c r="BO86" i="5"/>
  <c r="BJ25" i="5"/>
  <c r="BI25" i="5" s="1"/>
  <c r="BO109" i="5"/>
  <c r="BI115" i="5"/>
  <c r="BO137" i="5"/>
  <c r="BO85" i="5"/>
  <c r="BI147" i="5"/>
  <c r="BO119" i="5"/>
  <c r="BI140" i="5"/>
  <c r="BI55" i="5"/>
  <c r="BJ79" i="5"/>
  <c r="BI79" i="5" s="1"/>
  <c r="BI43" i="5"/>
  <c r="BO115" i="5"/>
  <c r="BI85" i="5"/>
  <c r="BI86" i="5"/>
  <c r="BI76" i="4"/>
  <c r="BI112" i="5"/>
  <c r="BI133" i="5"/>
  <c r="BO22" i="5"/>
  <c r="BO140" i="5"/>
  <c r="BO71" i="5"/>
  <c r="BO43" i="5"/>
  <c r="BO66" i="5"/>
  <c r="BO75" i="5"/>
  <c r="BI126" i="5"/>
  <c r="BI80" i="5"/>
  <c r="BI22" i="5"/>
  <c r="BO78" i="5"/>
  <c r="BO14" i="5"/>
  <c r="BO126" i="5"/>
  <c r="BO111" i="5"/>
  <c r="BO130" i="5"/>
  <c r="BO83" i="5"/>
  <c r="BO131" i="5"/>
  <c r="BI66" i="5"/>
  <c r="BI75" i="5"/>
  <c r="BO147" i="5"/>
  <c r="BI89" i="5"/>
  <c r="BJ111" i="5"/>
  <c r="BI111" i="5" s="1"/>
  <c r="BI5" i="5"/>
  <c r="BI128" i="5"/>
  <c r="BI71" i="5"/>
  <c r="BO5" i="5"/>
  <c r="BI39" i="5"/>
  <c r="BO128" i="5"/>
  <c r="BI83" i="5"/>
  <c r="BI130" i="5"/>
  <c r="BO39" i="5"/>
  <c r="BO127" i="5"/>
  <c r="BO60" i="5"/>
  <c r="BO64" i="5"/>
  <c r="BI134" i="5"/>
  <c r="BI131" i="5"/>
  <c r="BO89" i="5"/>
  <c r="BO134" i="5"/>
  <c r="BO46" i="5"/>
  <c r="BI105" i="5"/>
  <c r="BO55" i="5"/>
  <c r="BJ64" i="5"/>
  <c r="BI64" i="5" s="1"/>
  <c r="BO84" i="5"/>
  <c r="BI34" i="5"/>
  <c r="BO133" i="5"/>
  <c r="BO123" i="5"/>
  <c r="BO114" i="5"/>
  <c r="BI123" i="5"/>
  <c r="BO80" i="5"/>
  <c r="BI91" i="5"/>
  <c r="BO88" i="5"/>
  <c r="BO106" i="5"/>
  <c r="BJ11" i="5"/>
  <c r="BI11" i="5" s="1"/>
  <c r="BO124" i="5"/>
  <c r="BJ50" i="5"/>
  <c r="BI50" i="5" s="1"/>
  <c r="BI124" i="5"/>
  <c r="BI106" i="5"/>
  <c r="BO105" i="5"/>
  <c r="BO129" i="5"/>
  <c r="BI129" i="5"/>
  <c r="BI148" i="5"/>
  <c r="BO148" i="5"/>
  <c r="BO144" i="5"/>
  <c r="BI144" i="5"/>
  <c r="F12" i="14"/>
  <c r="Z6" i="16"/>
  <c r="AG11" i="16" s="1"/>
  <c r="O24" i="14" s="1"/>
  <c r="M26" i="16"/>
  <c r="M27" i="16" s="1"/>
  <c r="E69" i="16"/>
  <c r="E72" i="16" s="1"/>
  <c r="C12" i="16"/>
  <c r="C13" i="16"/>
  <c r="C14" i="16"/>
  <c r="C15" i="16"/>
  <c r="C16" i="16"/>
  <c r="C17" i="16"/>
  <c r="C18" i="16"/>
  <c r="C19" i="16"/>
  <c r="C20" i="16"/>
  <c r="C21" i="16"/>
  <c r="C22" i="16"/>
  <c r="AD51" i="16"/>
  <c r="AD53" i="16"/>
  <c r="AF53" i="16"/>
  <c r="AF54" i="16"/>
  <c r="AD55" i="16"/>
  <c r="AH59" i="16"/>
  <c r="AH60" i="16"/>
  <c r="AH61" i="16"/>
  <c r="AH62" i="16"/>
  <c r="AH63" i="16"/>
  <c r="O67" i="16"/>
  <c r="O69" i="16" s="1"/>
  <c r="D79" i="16"/>
  <c r="F79" i="16"/>
  <c r="H79" i="16"/>
  <c r="J79" i="16"/>
  <c r="L79" i="16"/>
  <c r="D80" i="16"/>
  <c r="F80" i="16"/>
  <c r="H80" i="16"/>
  <c r="J80" i="16"/>
  <c r="L80" i="16"/>
  <c r="D81" i="16"/>
  <c r="F81" i="16"/>
  <c r="H81" i="16"/>
  <c r="J81" i="16"/>
  <c r="L81" i="16"/>
  <c r="D82" i="16"/>
  <c r="F82" i="16"/>
  <c r="H82" i="16"/>
  <c r="J82" i="16"/>
  <c r="L82" i="16"/>
  <c r="D83" i="16"/>
  <c r="F83" i="16"/>
  <c r="H83" i="16"/>
  <c r="J83" i="16"/>
  <c r="L83" i="16"/>
  <c r="D84" i="16"/>
  <c r="F84" i="16"/>
  <c r="H84" i="16"/>
  <c r="J84" i="16"/>
  <c r="L84" i="16"/>
  <c r="D85" i="16"/>
  <c r="F85" i="16"/>
  <c r="H85" i="16"/>
  <c r="J85" i="16"/>
  <c r="L85" i="16"/>
  <c r="D86" i="16"/>
  <c r="F86" i="16"/>
  <c r="H86" i="16"/>
  <c r="J86" i="16"/>
  <c r="L86" i="16"/>
  <c r="D87" i="16"/>
  <c r="F87" i="16"/>
  <c r="H87" i="16"/>
  <c r="J87" i="16"/>
  <c r="L87" i="16"/>
  <c r="D88" i="16"/>
  <c r="F88" i="16"/>
  <c r="H88" i="16"/>
  <c r="J88" i="16"/>
  <c r="L88" i="16"/>
  <c r="D89" i="16"/>
  <c r="F89" i="16"/>
  <c r="H89" i="16"/>
  <c r="J89" i="16"/>
  <c r="L89" i="16"/>
  <c r="D90" i="16"/>
  <c r="F90" i="16"/>
  <c r="H90" i="16"/>
  <c r="J90" i="16"/>
  <c r="L90" i="16"/>
  <c r="Z5" i="16" l="1"/>
  <c r="AE18" i="16"/>
  <c r="N26" i="16"/>
  <c r="N30" i="16" s="1"/>
  <c r="L26" i="16"/>
  <c r="L27" i="16" s="1"/>
  <c r="O26" i="16"/>
  <c r="O30" i="16" s="1"/>
  <c r="K26" i="16"/>
  <c r="K29" i="16" s="1"/>
  <c r="D69" i="16"/>
  <c r="D70" i="16" s="1"/>
  <c r="G69" i="16"/>
  <c r="G72" i="16" s="1"/>
  <c r="F69" i="16"/>
  <c r="F72" i="16" s="1"/>
  <c r="H69" i="16"/>
  <c r="H72" i="16" s="1"/>
  <c r="AF11" i="16"/>
  <c r="O22" i="14" s="1"/>
  <c r="M30" i="16"/>
  <c r="AE11" i="16"/>
  <c r="O23" i="14" s="1"/>
  <c r="E71" i="16"/>
  <c r="O71" i="16"/>
  <c r="AF51" i="16"/>
  <c r="AF55" i="16"/>
  <c r="O70" i="16"/>
  <c r="AD11" i="16"/>
  <c r="O21" i="14" s="1"/>
  <c r="E73" i="16"/>
  <c r="M28" i="16"/>
  <c r="AD54" i="16"/>
  <c r="AF52" i="16"/>
  <c r="Z7" i="16"/>
  <c r="AD52" i="16"/>
  <c r="E70" i="16"/>
  <c r="O68" i="16"/>
  <c r="M29" i="16"/>
  <c r="AD56" i="16" l="1"/>
  <c r="N27" i="16"/>
  <c r="N28" i="16"/>
  <c r="N29" i="16"/>
  <c r="K30" i="16"/>
  <c r="F73" i="16"/>
  <c r="F71" i="16"/>
  <c r="F70" i="16"/>
  <c r="O28" i="16"/>
  <c r="L30" i="16"/>
  <c r="O27" i="16"/>
  <c r="L29" i="16"/>
  <c r="K27" i="16"/>
  <c r="D73" i="16"/>
  <c r="L28" i="16"/>
  <c r="K28" i="16"/>
  <c r="O29" i="16"/>
  <c r="D72" i="16"/>
  <c r="D71" i="16"/>
  <c r="G73" i="16"/>
  <c r="G71" i="16"/>
  <c r="G70" i="16"/>
  <c r="H70" i="16"/>
  <c r="H71" i="16"/>
  <c r="H73" i="16"/>
  <c r="AC56" i="16"/>
  <c r="E75" i="16"/>
  <c r="M32" i="16"/>
  <c r="O73" i="16"/>
  <c r="N14" i="16" s="1"/>
  <c r="I19" i="14" s="1"/>
  <c r="Y17" i="16"/>
  <c r="AC17" i="16"/>
  <c r="Z17" i="16"/>
  <c r="AA17" i="16"/>
  <c r="AB17" i="16"/>
  <c r="Y20" i="16" l="1"/>
  <c r="N32" i="16"/>
  <c r="K32" i="16"/>
  <c r="F75" i="16"/>
  <c r="G75" i="16"/>
  <c r="L32" i="16"/>
  <c r="D75" i="16"/>
  <c r="O32" i="16"/>
  <c r="H75" i="16"/>
  <c r="Y23" i="16"/>
  <c r="Y25" i="16"/>
  <c r="Y22" i="16"/>
  <c r="Y24" i="16"/>
  <c r="Y26" i="16"/>
  <c r="M14" i="16" l="1"/>
  <c r="L14" i="16"/>
  <c r="AI55" i="16"/>
  <c r="AG55" i="16"/>
  <c r="AH55" i="16"/>
  <c r="Y19" i="16"/>
  <c r="AA26" i="16" l="1"/>
  <c r="Z26" i="16"/>
  <c r="AB26" i="16"/>
  <c r="I18" i="14"/>
  <c r="M26" i="9"/>
  <c r="H18" i="14"/>
  <c r="D49" i="9"/>
  <c r="D45" i="9"/>
  <c r="D41" i="9"/>
  <c r="D37" i="9"/>
  <c r="D33" i="9"/>
  <c r="E49" i="9"/>
  <c r="E45" i="9"/>
  <c r="E41" i="9"/>
  <c r="E37" i="9"/>
  <c r="E33" i="9"/>
  <c r="E29" i="9"/>
  <c r="J49" i="9"/>
  <c r="I49" i="9"/>
  <c r="H49" i="9"/>
  <c r="G49" i="9"/>
  <c r="F49" i="9"/>
  <c r="J45" i="9"/>
  <c r="I45" i="9"/>
  <c r="H45" i="9"/>
  <c r="G45" i="9"/>
  <c r="F45" i="9"/>
  <c r="J41" i="9"/>
  <c r="I41" i="9"/>
  <c r="H41" i="9"/>
  <c r="G41" i="9"/>
  <c r="F41" i="9"/>
  <c r="J37" i="9"/>
  <c r="I37" i="9"/>
  <c r="H37" i="9"/>
  <c r="G37" i="9"/>
  <c r="F37" i="9"/>
  <c r="H33" i="9"/>
  <c r="G33" i="9"/>
  <c r="F33" i="9"/>
  <c r="H29" i="9"/>
  <c r="G29" i="9"/>
  <c r="F29" i="9"/>
  <c r="D29" i="9"/>
  <c r="M43" i="9" l="1"/>
  <c r="H16" i="14" s="1"/>
  <c r="H20" i="14" s="1"/>
  <c r="M44" i="9"/>
  <c r="I17" i="14" s="1"/>
  <c r="I20" i="14" s="1"/>
  <c r="L33" i="14" l="1"/>
  <c r="M33" i="14"/>
  <c r="K33" i="14"/>
  <c r="AE63" i="16" s="1"/>
  <c r="D24" i="11"/>
  <c r="D26" i="11"/>
  <c r="D27" i="11"/>
  <c r="D28" i="11"/>
  <c r="D29" i="11"/>
  <c r="D30" i="11"/>
  <c r="D31" i="11"/>
  <c r="D32" i="11"/>
  <c r="D33" i="11"/>
  <c r="D34" i="11"/>
  <c r="D25" i="11"/>
  <c r="F68" i="3"/>
  <c r="G68" i="3"/>
  <c r="H68" i="3"/>
  <c r="I68" i="3"/>
  <c r="J68" i="3"/>
  <c r="K68" i="3"/>
  <c r="L68" i="3"/>
  <c r="M68" i="3"/>
  <c r="N68" i="3"/>
  <c r="O68" i="3"/>
  <c r="P68" i="3"/>
  <c r="Q68" i="3"/>
  <c r="F69" i="3"/>
  <c r="G69" i="3"/>
  <c r="H69" i="3"/>
  <c r="I69" i="3"/>
  <c r="J69" i="3"/>
  <c r="K69" i="3"/>
  <c r="L69" i="3"/>
  <c r="M69" i="3"/>
  <c r="N69" i="3"/>
  <c r="O69" i="3"/>
  <c r="P69" i="3"/>
  <c r="Q69" i="3"/>
  <c r="F70" i="3"/>
  <c r="G70" i="3"/>
  <c r="H70" i="3"/>
  <c r="I70" i="3"/>
  <c r="J70" i="3"/>
  <c r="K70" i="3"/>
  <c r="L70" i="3"/>
  <c r="M70" i="3"/>
  <c r="N70" i="3"/>
  <c r="O70" i="3"/>
  <c r="P70" i="3"/>
  <c r="Q70" i="3"/>
  <c r="F71" i="3"/>
  <c r="G71" i="3"/>
  <c r="H71" i="3"/>
  <c r="I71" i="3"/>
  <c r="J71" i="3"/>
  <c r="K71" i="3"/>
  <c r="L71" i="3"/>
  <c r="M71" i="3"/>
  <c r="N71" i="3"/>
  <c r="O71" i="3"/>
  <c r="P71" i="3"/>
  <c r="Q71" i="3"/>
  <c r="F72" i="3"/>
  <c r="G72" i="3"/>
  <c r="H72" i="3"/>
  <c r="I72" i="3"/>
  <c r="J72" i="3"/>
  <c r="K72" i="3"/>
  <c r="L72" i="3"/>
  <c r="M72" i="3"/>
  <c r="N72" i="3"/>
  <c r="O72" i="3"/>
  <c r="P72" i="3"/>
  <c r="Q72" i="3"/>
  <c r="F73" i="3"/>
  <c r="G73" i="3"/>
  <c r="H73" i="3"/>
  <c r="I73" i="3"/>
  <c r="J73" i="3"/>
  <c r="K73" i="3"/>
  <c r="L73" i="3"/>
  <c r="M73" i="3"/>
  <c r="N73" i="3"/>
  <c r="O73" i="3"/>
  <c r="P73" i="3"/>
  <c r="Q73" i="3"/>
  <c r="F74" i="3"/>
  <c r="G74" i="3"/>
  <c r="H74" i="3"/>
  <c r="I74" i="3"/>
  <c r="J74" i="3"/>
  <c r="K74" i="3"/>
  <c r="L74" i="3"/>
  <c r="M74" i="3"/>
  <c r="N74" i="3"/>
  <c r="O74" i="3"/>
  <c r="P74" i="3"/>
  <c r="Q74" i="3"/>
  <c r="F75" i="3"/>
  <c r="G75" i="3"/>
  <c r="H75" i="3"/>
  <c r="I75" i="3"/>
  <c r="J75" i="3"/>
  <c r="K75" i="3"/>
  <c r="L75" i="3"/>
  <c r="M75" i="3"/>
  <c r="N75" i="3"/>
  <c r="O75" i="3"/>
  <c r="P75" i="3"/>
  <c r="Q75" i="3"/>
  <c r="F76" i="3"/>
  <c r="G76" i="3"/>
  <c r="H76" i="3"/>
  <c r="I76" i="3"/>
  <c r="J76" i="3"/>
  <c r="K76" i="3"/>
  <c r="L76" i="3"/>
  <c r="M76" i="3"/>
  <c r="N76" i="3"/>
  <c r="O76" i="3"/>
  <c r="P76" i="3"/>
  <c r="Q76" i="3"/>
  <c r="F77" i="3"/>
  <c r="G77" i="3"/>
  <c r="H77" i="3"/>
  <c r="I77" i="3"/>
  <c r="J77" i="3"/>
  <c r="K77" i="3"/>
  <c r="L77" i="3"/>
  <c r="M77" i="3"/>
  <c r="N77" i="3"/>
  <c r="O77" i="3"/>
  <c r="P77" i="3"/>
  <c r="Q77" i="3"/>
  <c r="F78" i="3"/>
  <c r="G78" i="3"/>
  <c r="H78" i="3"/>
  <c r="I78" i="3"/>
  <c r="J78" i="3"/>
  <c r="K78" i="3"/>
  <c r="L78" i="3"/>
  <c r="M78" i="3"/>
  <c r="N78" i="3"/>
  <c r="O78" i="3"/>
  <c r="P78" i="3"/>
  <c r="Q78" i="3"/>
  <c r="F79" i="3"/>
  <c r="G79" i="3"/>
  <c r="H79" i="3"/>
  <c r="I79" i="3"/>
  <c r="J79" i="3"/>
  <c r="K79" i="3"/>
  <c r="L79" i="3"/>
  <c r="M79" i="3"/>
  <c r="N79" i="3"/>
  <c r="O79" i="3"/>
  <c r="P79" i="3"/>
  <c r="Q79" i="3"/>
  <c r="F80" i="3"/>
  <c r="G80" i="3"/>
  <c r="H80" i="3"/>
  <c r="I80" i="3"/>
  <c r="J80" i="3"/>
  <c r="K80" i="3"/>
  <c r="L80" i="3"/>
  <c r="M80" i="3"/>
  <c r="N80" i="3"/>
  <c r="O80" i="3"/>
  <c r="P80" i="3"/>
  <c r="Q80" i="3"/>
  <c r="F81" i="3"/>
  <c r="G81" i="3"/>
  <c r="H81" i="3"/>
  <c r="I81" i="3"/>
  <c r="J81" i="3"/>
  <c r="K81" i="3"/>
  <c r="L81" i="3"/>
  <c r="M81" i="3"/>
  <c r="N81" i="3"/>
  <c r="O81" i="3"/>
  <c r="P81" i="3"/>
  <c r="Q81" i="3"/>
  <c r="F82" i="3"/>
  <c r="G82" i="3"/>
  <c r="H82" i="3"/>
  <c r="I82" i="3"/>
  <c r="J82" i="3"/>
  <c r="K82" i="3"/>
  <c r="L82" i="3"/>
  <c r="M82" i="3"/>
  <c r="N82" i="3"/>
  <c r="O82" i="3"/>
  <c r="P82" i="3"/>
  <c r="Q82" i="3"/>
  <c r="F83" i="3"/>
  <c r="G83" i="3"/>
  <c r="H83" i="3"/>
  <c r="I83" i="3"/>
  <c r="J83" i="3"/>
  <c r="K83" i="3"/>
  <c r="L83" i="3"/>
  <c r="M83" i="3"/>
  <c r="N83" i="3"/>
  <c r="O83" i="3"/>
  <c r="P83" i="3"/>
  <c r="Q83" i="3"/>
  <c r="F84" i="3"/>
  <c r="G84" i="3"/>
  <c r="H84" i="3"/>
  <c r="I84" i="3"/>
  <c r="J84" i="3"/>
  <c r="K84" i="3"/>
  <c r="L84" i="3"/>
  <c r="M84" i="3"/>
  <c r="N84" i="3"/>
  <c r="O84" i="3"/>
  <c r="P84" i="3"/>
  <c r="Q84" i="3"/>
  <c r="F85" i="3"/>
  <c r="G85" i="3"/>
  <c r="H85" i="3"/>
  <c r="I85" i="3"/>
  <c r="J85" i="3"/>
  <c r="K85" i="3"/>
  <c r="L85" i="3"/>
  <c r="M85" i="3"/>
  <c r="N85" i="3"/>
  <c r="O85" i="3"/>
  <c r="P85" i="3"/>
  <c r="Q85" i="3"/>
  <c r="F86" i="3"/>
  <c r="G86" i="3"/>
  <c r="H86" i="3"/>
  <c r="I86" i="3"/>
  <c r="J86" i="3"/>
  <c r="K86" i="3"/>
  <c r="L86" i="3"/>
  <c r="M86" i="3"/>
  <c r="N86" i="3"/>
  <c r="O86" i="3"/>
  <c r="P86" i="3"/>
  <c r="Q86" i="3"/>
  <c r="G67" i="3"/>
  <c r="H67" i="3"/>
  <c r="I67" i="3"/>
  <c r="J67" i="3"/>
  <c r="K67" i="3"/>
  <c r="L67" i="3"/>
  <c r="M67" i="3"/>
  <c r="N67" i="3"/>
  <c r="O67" i="3"/>
  <c r="P67" i="3"/>
  <c r="Q67" i="3"/>
  <c r="F67" i="3"/>
  <c r="W83" i="3"/>
  <c r="W79" i="3"/>
  <c r="W75" i="3"/>
  <c r="W71" i="3"/>
  <c r="W67" i="3"/>
  <c r="J33" i="14" l="1"/>
  <c r="AF63" i="16"/>
  <c r="I33" i="14"/>
  <c r="W134" i="3"/>
  <c r="W130" i="3"/>
  <c r="W126" i="3"/>
  <c r="W122" i="3"/>
  <c r="W118" i="3"/>
  <c r="N33" i="14" l="1"/>
  <c r="N32" i="14"/>
  <c r="N31" i="14"/>
  <c r="O12" i="14"/>
  <c r="O13" i="14" s="1"/>
  <c r="M11" i="14"/>
  <c r="O11" i="14" s="1"/>
  <c r="M10" i="14"/>
  <c r="N10" i="14" s="1"/>
  <c r="M9" i="14"/>
  <c r="O9" i="14" s="1"/>
  <c r="M8" i="14"/>
  <c r="N8" i="14" s="1"/>
  <c r="M7" i="14"/>
  <c r="O7" i="14" s="1"/>
  <c r="O10" i="14" l="1"/>
  <c r="O8" i="14"/>
  <c r="N11" i="14"/>
  <c r="N7" i="14"/>
  <c r="N9" i="14"/>
  <c r="F7" i="13" l="1"/>
  <c r="F8" i="13"/>
  <c r="F9" i="13"/>
  <c r="F6" i="13"/>
  <c r="AA7" i="3" l="1"/>
  <c r="AW148" i="3" l="1"/>
  <c r="AW147" i="3"/>
  <c r="AW146" i="3"/>
  <c r="AW145" i="3"/>
  <c r="AW144" i="3"/>
  <c r="AW143" i="3"/>
  <c r="AW142" i="3"/>
  <c r="AW141" i="3"/>
  <c r="AW140" i="3"/>
  <c r="AW139" i="3"/>
  <c r="AW138" i="3"/>
  <c r="AW137" i="3"/>
  <c r="AW136" i="3"/>
  <c r="AW135" i="3"/>
  <c r="AW134" i="3"/>
  <c r="AW133" i="3"/>
  <c r="AW132" i="3"/>
  <c r="AW131" i="3"/>
  <c r="AW130" i="3"/>
  <c r="AW129" i="3"/>
  <c r="AW128" i="3"/>
  <c r="AW127" i="3"/>
  <c r="AW126" i="3"/>
  <c r="AW125" i="3"/>
  <c r="AW124" i="3"/>
  <c r="AW123" i="3"/>
  <c r="AW122" i="3"/>
  <c r="AW121" i="3"/>
  <c r="AW120" i="3"/>
  <c r="AW119" i="3"/>
  <c r="AW118" i="3"/>
  <c r="AW117" i="3"/>
  <c r="AW116" i="3"/>
  <c r="AW115" i="3"/>
  <c r="AW114" i="3"/>
  <c r="AW113" i="3"/>
  <c r="AW112" i="3"/>
  <c r="AW111" i="3"/>
  <c r="AW110" i="3"/>
  <c r="AW109" i="3"/>
  <c r="AW108" i="3"/>
  <c r="AW107" i="3"/>
  <c r="AW106" i="3"/>
  <c r="AW105" i="3"/>
  <c r="AW104" i="3"/>
  <c r="AW103" i="3"/>
  <c r="AW102" i="3"/>
  <c r="AW101" i="3"/>
  <c r="AW100" i="3"/>
  <c r="AW99" i="3"/>
  <c r="AW98" i="3"/>
  <c r="AW97" i="3"/>
  <c r="AW96" i="3"/>
  <c r="AW95" i="3"/>
  <c r="AW94" i="3"/>
  <c r="AW93" i="3"/>
  <c r="AW91" i="3"/>
  <c r="AW90" i="3"/>
  <c r="AW89" i="3"/>
  <c r="AW88" i="3"/>
  <c r="AW87" i="3"/>
  <c r="AW86" i="3"/>
  <c r="AW85" i="3"/>
  <c r="AW84" i="3"/>
  <c r="AW83" i="3"/>
  <c r="AW82" i="3"/>
  <c r="AW81" i="3"/>
  <c r="AW80" i="3"/>
  <c r="AW79" i="3"/>
  <c r="AW78" i="3"/>
  <c r="AW77" i="3"/>
  <c r="AW76" i="3"/>
  <c r="AW75" i="3"/>
  <c r="AW74" i="3"/>
  <c r="AW73" i="3"/>
  <c r="AW72" i="3"/>
  <c r="AW71" i="3"/>
  <c r="AW70" i="3"/>
  <c r="AW69" i="3"/>
  <c r="AW68" i="3"/>
  <c r="AW67" i="3"/>
  <c r="AW66" i="3"/>
  <c r="AW65" i="3"/>
  <c r="AW64" i="3"/>
  <c r="AW63" i="3"/>
  <c r="AW62" i="3"/>
  <c r="AW61" i="3"/>
  <c r="AW60" i="3"/>
  <c r="AW59" i="3"/>
  <c r="AW58" i="3"/>
  <c r="AW57" i="3"/>
  <c r="AW56" i="3"/>
  <c r="AW55" i="3"/>
  <c r="AW54" i="3"/>
  <c r="AW53" i="3"/>
  <c r="AW52" i="3"/>
  <c r="AW51" i="3"/>
  <c r="AW50" i="3"/>
  <c r="AW49" i="3"/>
  <c r="AW48" i="3"/>
  <c r="AW46" i="3"/>
  <c r="AW45" i="3"/>
  <c r="AW44" i="3"/>
  <c r="AW43" i="3"/>
  <c r="AW42" i="3"/>
  <c r="AW41" i="3"/>
  <c r="AW40" i="3"/>
  <c r="AW39" i="3"/>
  <c r="AW38" i="3"/>
  <c r="AW37" i="3"/>
  <c r="AW36" i="3"/>
  <c r="AW35" i="3"/>
  <c r="AW34" i="3"/>
  <c r="AW33" i="3"/>
  <c r="AW32" i="3"/>
  <c r="AW31" i="3"/>
  <c r="AW30" i="3"/>
  <c r="AW29" i="3"/>
  <c r="AW28" i="3"/>
  <c r="AW27" i="3"/>
  <c r="AW26" i="3"/>
  <c r="AW25" i="3"/>
  <c r="AW24" i="3"/>
  <c r="AW23" i="3"/>
  <c r="AW22" i="3"/>
  <c r="AW21" i="3"/>
  <c r="AW20" i="3"/>
  <c r="AW18" i="3"/>
  <c r="AW17" i="3"/>
  <c r="AW16" i="3"/>
  <c r="AW15" i="3"/>
  <c r="AW14" i="3"/>
  <c r="AW13" i="3"/>
  <c r="AW12" i="3"/>
  <c r="AW11" i="3"/>
  <c r="AW10" i="3"/>
  <c r="AW9" i="3"/>
  <c r="AW8" i="3"/>
  <c r="AW6" i="3"/>
  <c r="AW5" i="3"/>
  <c r="AW4" i="3"/>
  <c r="I10" i="13"/>
  <c r="H36" i="13"/>
  <c r="I34" i="13"/>
  <c r="H34" i="13"/>
  <c r="H32" i="13"/>
  <c r="I30" i="13"/>
  <c r="H30" i="13"/>
  <c r="H28" i="13"/>
  <c r="I26" i="13"/>
  <c r="H26" i="13"/>
  <c r="J26" i="13" s="1"/>
  <c r="H24" i="13"/>
  <c r="I22" i="13"/>
  <c r="H22" i="13"/>
  <c r="H20" i="13"/>
  <c r="I18" i="13"/>
  <c r="H18" i="13"/>
  <c r="H16" i="13"/>
  <c r="I14" i="13"/>
  <c r="H14" i="13"/>
  <c r="J14" i="13" s="1"/>
  <c r="H12" i="13"/>
  <c r="H10" i="13"/>
  <c r="I6" i="13"/>
  <c r="H8" i="13"/>
  <c r="H6" i="13"/>
  <c r="J10" i="13" l="1"/>
  <c r="AR136" i="5" s="1"/>
  <c r="J30" i="13"/>
  <c r="J22" i="13"/>
  <c r="AV145" i="5"/>
  <c r="AP145" i="5" s="1"/>
  <c r="CK145" i="5" s="1"/>
  <c r="AV142" i="5"/>
  <c r="AP142" i="5" s="1"/>
  <c r="CK142" i="5" s="1"/>
  <c r="AV147" i="5"/>
  <c r="AP147" i="5" s="1"/>
  <c r="CK147" i="5" s="1"/>
  <c r="AV139" i="5"/>
  <c r="AP139" i="5" s="1"/>
  <c r="CK139" i="5" s="1"/>
  <c r="AV143" i="5"/>
  <c r="AP143" i="5" s="1"/>
  <c r="CK143" i="5" s="1"/>
  <c r="AU136" i="5"/>
  <c r="AO136" i="5" s="1"/>
  <c r="CJ136" i="5" s="1"/>
  <c r="AU134" i="5"/>
  <c r="AO134" i="5" s="1"/>
  <c r="CJ134" i="5" s="1"/>
  <c r="AU132" i="5"/>
  <c r="AO132" i="5" s="1"/>
  <c r="CJ132" i="5" s="1"/>
  <c r="AT132" i="5"/>
  <c r="AN132" i="5" s="1"/>
  <c r="CI132" i="5" s="1"/>
  <c r="AS132" i="5"/>
  <c r="AM132" i="5" s="1"/>
  <c r="CH132" i="5" s="1"/>
  <c r="AU131" i="5"/>
  <c r="AO131" i="5" s="1"/>
  <c r="CJ131" i="5" s="1"/>
  <c r="AU129" i="5"/>
  <c r="AO129" i="5" s="1"/>
  <c r="CJ129" i="5" s="1"/>
  <c r="AU121" i="5"/>
  <c r="AO121" i="5" s="1"/>
  <c r="CJ121" i="5" s="1"/>
  <c r="AS118" i="5"/>
  <c r="AM118" i="5" s="1"/>
  <c r="CH118" i="5" s="1"/>
  <c r="AT131" i="5"/>
  <c r="AN131" i="5" s="1"/>
  <c r="CI131" i="5" s="1"/>
  <c r="AT127" i="5"/>
  <c r="AN127" i="5" s="1"/>
  <c r="CI127" i="5" s="1"/>
  <c r="AR118" i="5"/>
  <c r="AU143" i="5"/>
  <c r="AO143" i="5" s="1"/>
  <c r="CJ143" i="5" s="1"/>
  <c r="AU126" i="5"/>
  <c r="AO126" i="5" s="1"/>
  <c r="CJ126" i="5" s="1"/>
  <c r="AU124" i="5"/>
  <c r="AO124" i="5" s="1"/>
  <c r="CJ124" i="5" s="1"/>
  <c r="AT114" i="5"/>
  <c r="AN114" i="5" s="1"/>
  <c r="CI114" i="5" s="1"/>
  <c r="AS114" i="5"/>
  <c r="AM114" i="5" s="1"/>
  <c r="CH114" i="5" s="1"/>
  <c r="AT126" i="5"/>
  <c r="AN126" i="5" s="1"/>
  <c r="CI126" i="5" s="1"/>
  <c r="AS117" i="5"/>
  <c r="AM117" i="5" s="1"/>
  <c r="CH117" i="5" s="1"/>
  <c r="AT136" i="5"/>
  <c r="AN136" i="5" s="1"/>
  <c r="CI136" i="5" s="1"/>
  <c r="AR117" i="5"/>
  <c r="AS115" i="5"/>
  <c r="AM115" i="5" s="1"/>
  <c r="CH115" i="5" s="1"/>
  <c r="AT117" i="5"/>
  <c r="AN117" i="5" s="1"/>
  <c r="CI117" i="5" s="1"/>
  <c r="AT106" i="5"/>
  <c r="AN106" i="5" s="1"/>
  <c r="CI106" i="5" s="1"/>
  <c r="AT103" i="5"/>
  <c r="AN103" i="5" s="1"/>
  <c r="CI103" i="5" s="1"/>
  <c r="AT112" i="5"/>
  <c r="AN112" i="5" s="1"/>
  <c r="CI112" i="5" s="1"/>
  <c r="AT108" i="5"/>
  <c r="AN108" i="5" s="1"/>
  <c r="CI108" i="5" s="1"/>
  <c r="AS93" i="5"/>
  <c r="AM93" i="5" s="1"/>
  <c r="CH93" i="5" s="1"/>
  <c r="AU91" i="5"/>
  <c r="AO91" i="5" s="1"/>
  <c r="CJ91" i="5" s="1"/>
  <c r="AU89" i="5"/>
  <c r="AO89" i="5" s="1"/>
  <c r="CJ89" i="5" s="1"/>
  <c r="AU87" i="5"/>
  <c r="AO87" i="5" s="1"/>
  <c r="CJ87" i="5" s="1"/>
  <c r="AS108" i="5"/>
  <c r="AM108" i="5" s="1"/>
  <c r="CH108" i="5" s="1"/>
  <c r="AT91" i="5"/>
  <c r="AN91" i="5" s="1"/>
  <c r="CI91" i="5" s="1"/>
  <c r="AT87" i="5"/>
  <c r="AN87" i="5" s="1"/>
  <c r="CI87" i="5" s="1"/>
  <c r="AS109" i="5"/>
  <c r="AM109" i="5" s="1"/>
  <c r="CH109" i="5" s="1"/>
  <c r="AR99" i="5"/>
  <c r="AU86" i="5"/>
  <c r="AO86" i="5" s="1"/>
  <c r="CJ86" i="5" s="1"/>
  <c r="AT86" i="5"/>
  <c r="AN86" i="5" s="1"/>
  <c r="CI86" i="5" s="1"/>
  <c r="AT81" i="5"/>
  <c r="AN81" i="5" s="1"/>
  <c r="CI81" i="5" s="1"/>
  <c r="AU84" i="5"/>
  <c r="AO84" i="5" s="1"/>
  <c r="CJ84" i="5" s="1"/>
  <c r="AU76" i="5"/>
  <c r="AO76" i="5" s="1"/>
  <c r="CJ76" i="5" s="1"/>
  <c r="AT82" i="5"/>
  <c r="AN82" i="5" s="1"/>
  <c r="CI82" i="5" s="1"/>
  <c r="AS98" i="5"/>
  <c r="AM98" i="5" s="1"/>
  <c r="CH98" i="5" s="1"/>
  <c r="AR98" i="5"/>
  <c r="AS96" i="5"/>
  <c r="AM96" i="5" s="1"/>
  <c r="CH96" i="5" s="1"/>
  <c r="AS87" i="5"/>
  <c r="AM87" i="5" s="1"/>
  <c r="CH87" i="5" s="1"/>
  <c r="AR73" i="5"/>
  <c r="AT63" i="5"/>
  <c r="AN63" i="5" s="1"/>
  <c r="CI63" i="5" s="1"/>
  <c r="AR53" i="5"/>
  <c r="AU79" i="5"/>
  <c r="AO79" i="5" s="1"/>
  <c r="CJ79" i="5" s="1"/>
  <c r="AS63" i="5"/>
  <c r="AM63" i="5" s="1"/>
  <c r="CH63" i="5" s="1"/>
  <c r="AT69" i="5"/>
  <c r="AN69" i="5" s="1"/>
  <c r="CI69" i="5" s="1"/>
  <c r="AT61" i="5"/>
  <c r="AN61" i="5" s="1"/>
  <c r="CI61" i="5" s="1"/>
  <c r="AT72" i="5"/>
  <c r="AN72" i="5" s="1"/>
  <c r="CI72" i="5" s="1"/>
  <c r="AS69" i="5"/>
  <c r="AM69" i="5" s="1"/>
  <c r="CH69" i="5" s="1"/>
  <c r="AS72" i="5"/>
  <c r="AM72" i="5" s="1"/>
  <c r="CH72" i="5" s="1"/>
  <c r="AT67" i="5"/>
  <c r="AN67" i="5" s="1"/>
  <c r="CI67" i="5" s="1"/>
  <c r="AS64" i="5"/>
  <c r="AM64" i="5" s="1"/>
  <c r="CH64" i="5" s="1"/>
  <c r="AU81" i="5"/>
  <c r="AO81" i="5" s="1"/>
  <c r="CJ81" i="5" s="1"/>
  <c r="AR72" i="5"/>
  <c r="AS70" i="5"/>
  <c r="AM70" i="5" s="1"/>
  <c r="CH70" i="5" s="1"/>
  <c r="AS48" i="5"/>
  <c r="AM48" i="5" s="1"/>
  <c r="CH48" i="5" s="1"/>
  <c r="AU44" i="5"/>
  <c r="AO44" i="5" s="1"/>
  <c r="CJ44" i="5" s="1"/>
  <c r="AU42" i="5"/>
  <c r="AO42" i="5" s="1"/>
  <c r="CJ42" i="5" s="1"/>
  <c r="AR54" i="5"/>
  <c r="AS51" i="5"/>
  <c r="AM51" i="5" s="1"/>
  <c r="CH51" i="5" s="1"/>
  <c r="AS73" i="5"/>
  <c r="AM73" i="5" s="1"/>
  <c r="CH73" i="5" s="1"/>
  <c r="AT58" i="5"/>
  <c r="AN58" i="5" s="1"/>
  <c r="CI58" i="5" s="1"/>
  <c r="AR27" i="5"/>
  <c r="AS13" i="5"/>
  <c r="AM13" i="5" s="1"/>
  <c r="CH13" i="5" s="1"/>
  <c r="AT33" i="5"/>
  <c r="AN33" i="5" s="1"/>
  <c r="CI33" i="5" s="1"/>
  <c r="AR13" i="5"/>
  <c r="AS27" i="5"/>
  <c r="AM27" i="5" s="1"/>
  <c r="CH27" i="5" s="1"/>
  <c r="AS10" i="5"/>
  <c r="AM10" i="5" s="1"/>
  <c r="CH10" i="5" s="1"/>
  <c r="AT35" i="5"/>
  <c r="AN35" i="5" s="1"/>
  <c r="CI35" i="5" s="1"/>
  <c r="AS25" i="5"/>
  <c r="AM25" i="5" s="1"/>
  <c r="CH25" i="5" s="1"/>
  <c r="AS22" i="5"/>
  <c r="AM22" i="5" s="1"/>
  <c r="CH22" i="5" s="1"/>
  <c r="AT37" i="5"/>
  <c r="AN37" i="5" s="1"/>
  <c r="CI37" i="5" s="1"/>
  <c r="AS35" i="5"/>
  <c r="AM35" i="5" s="1"/>
  <c r="CH35" i="5" s="1"/>
  <c r="AT38" i="5"/>
  <c r="AN38" i="5" s="1"/>
  <c r="CI38" i="5" s="1"/>
  <c r="AT30" i="5"/>
  <c r="AN30" i="5" s="1"/>
  <c r="CI30" i="5" s="1"/>
  <c r="AS38" i="5"/>
  <c r="AM38" i="5" s="1"/>
  <c r="CH38" i="5" s="1"/>
  <c r="AT16" i="5"/>
  <c r="AN16" i="5" s="1"/>
  <c r="CI16" i="5" s="1"/>
  <c r="AS12" i="5"/>
  <c r="AM12" i="5" s="1"/>
  <c r="CH12" i="5" s="1"/>
  <c r="AS53" i="5"/>
  <c r="AM53" i="5" s="1"/>
  <c r="CH53" i="5" s="1"/>
  <c r="AU148" i="5"/>
  <c r="AO148" i="5" s="1"/>
  <c r="CJ148" i="5" s="1"/>
  <c r="AS146" i="5"/>
  <c r="AM146" i="5" s="1"/>
  <c r="CH146" i="5" s="1"/>
  <c r="AS136" i="5"/>
  <c r="AM136" i="5" s="1"/>
  <c r="CH136" i="5" s="1"/>
  <c r="AS134" i="5"/>
  <c r="AM134" i="5" s="1"/>
  <c r="CH134" i="5" s="1"/>
  <c r="AT148" i="5"/>
  <c r="AN148" i="5" s="1"/>
  <c r="CI148" i="5" s="1"/>
  <c r="AU145" i="5"/>
  <c r="AO145" i="5" s="1"/>
  <c r="CJ145" i="5" s="1"/>
  <c r="AR134" i="5"/>
  <c r="AS148" i="5"/>
  <c r="AM148" i="5" s="1"/>
  <c r="CH148" i="5" s="1"/>
  <c r="AT145" i="5"/>
  <c r="AN145" i="5" s="1"/>
  <c r="CI145" i="5" s="1"/>
  <c r="AU142" i="5"/>
  <c r="AO142" i="5" s="1"/>
  <c r="CJ142" i="5" s="1"/>
  <c r="AU133" i="5"/>
  <c r="AO133" i="5" s="1"/>
  <c r="CJ133" i="5" s="1"/>
  <c r="AR148" i="5"/>
  <c r="AU147" i="5"/>
  <c r="AO147" i="5" s="1"/>
  <c r="CJ147" i="5" s="1"/>
  <c r="AT135" i="5"/>
  <c r="AN135" i="5" s="1"/>
  <c r="CI135" i="5" s="1"/>
  <c r="AT147" i="5"/>
  <c r="AN147" i="5" s="1"/>
  <c r="CI147" i="5" s="1"/>
  <c r="AU144" i="5"/>
  <c r="AO144" i="5" s="1"/>
  <c r="CJ144" i="5" s="1"/>
  <c r="AV141" i="5"/>
  <c r="AP141" i="5" s="1"/>
  <c r="CK141" i="5" s="1"/>
  <c r="AS135" i="5"/>
  <c r="AM135" i="5" s="1"/>
  <c r="CH135" i="5" s="1"/>
  <c r="AS133" i="5"/>
  <c r="AM133" i="5" s="1"/>
  <c r="CH133" i="5" s="1"/>
  <c r="AS147" i="5"/>
  <c r="AM147" i="5" s="1"/>
  <c r="CH147" i="5" s="1"/>
  <c r="AT144" i="5"/>
  <c r="AN144" i="5" s="1"/>
  <c r="CI144" i="5" s="1"/>
  <c r="AU141" i="5"/>
  <c r="AO141" i="5" s="1"/>
  <c r="CJ141" i="5" s="1"/>
  <c r="AV138" i="5"/>
  <c r="AP138" i="5" s="1"/>
  <c r="CK138" i="5" s="1"/>
  <c r="AR135" i="5"/>
  <c r="AR133" i="5"/>
  <c r="AU146" i="5"/>
  <c r="AO146" i="5" s="1"/>
  <c r="CJ146" i="5" s="1"/>
  <c r="AT146" i="5"/>
  <c r="AN146" i="5" s="1"/>
  <c r="CI146" i="5" s="1"/>
  <c r="AU123" i="5"/>
  <c r="AO123" i="5" s="1"/>
  <c r="CJ123" i="5" s="1"/>
  <c r="AT133" i="5"/>
  <c r="AN133" i="5" s="1"/>
  <c r="CI133" i="5" s="1"/>
  <c r="AT129" i="5"/>
  <c r="AN129" i="5" s="1"/>
  <c r="CI129" i="5" s="1"/>
  <c r="AT125" i="5"/>
  <c r="AN125" i="5" s="1"/>
  <c r="CI125" i="5" s="1"/>
  <c r="AT123" i="5"/>
  <c r="AN123" i="5" s="1"/>
  <c r="CI123" i="5" s="1"/>
  <c r="AS131" i="5"/>
  <c r="AM131" i="5" s="1"/>
  <c r="CH131" i="5" s="1"/>
  <c r="AS129" i="5"/>
  <c r="AM129" i="5" s="1"/>
  <c r="CH129" i="5" s="1"/>
  <c r="AU128" i="5"/>
  <c r="AO128" i="5" s="1"/>
  <c r="CJ128" i="5" s="1"/>
  <c r="AT128" i="5"/>
  <c r="AN128" i="5" s="1"/>
  <c r="CI128" i="5" s="1"/>
  <c r="AT124" i="5"/>
  <c r="AN124" i="5" s="1"/>
  <c r="CI124" i="5" s="1"/>
  <c r="AR113" i="5"/>
  <c r="AT111" i="5"/>
  <c r="AN111" i="5" s="1"/>
  <c r="CI111" i="5" s="1"/>
  <c r="AS128" i="5"/>
  <c r="AM128" i="5" s="1"/>
  <c r="CH128" i="5" s="1"/>
  <c r="AR116" i="5"/>
  <c r="AR111" i="5"/>
  <c r="AS106" i="5"/>
  <c r="AM106" i="5" s="1"/>
  <c r="CH106" i="5" s="1"/>
  <c r="AT130" i="5"/>
  <c r="AN130" i="5" s="1"/>
  <c r="CI130" i="5" s="1"/>
  <c r="AS112" i="5"/>
  <c r="AM112" i="5" s="1"/>
  <c r="CH112" i="5" s="1"/>
  <c r="AS130" i="5"/>
  <c r="AM130" i="5" s="1"/>
  <c r="CH130" i="5" s="1"/>
  <c r="AU120" i="5"/>
  <c r="AO120" i="5" s="1"/>
  <c r="CJ120" i="5" s="1"/>
  <c r="AR112" i="5"/>
  <c r="AT102" i="5"/>
  <c r="AN102" i="5" s="1"/>
  <c r="CI102" i="5" s="1"/>
  <c r="AR96" i="5"/>
  <c r="AR90" i="5"/>
  <c r="AR114" i="5"/>
  <c r="AT105" i="5"/>
  <c r="AN105" i="5" s="1"/>
  <c r="CI105" i="5" s="1"/>
  <c r="AR97" i="5"/>
  <c r="AT89" i="5"/>
  <c r="AN89" i="5" s="1"/>
  <c r="CI89" i="5" s="1"/>
  <c r="AR89" i="5"/>
  <c r="AS95" i="5"/>
  <c r="AM95" i="5" s="1"/>
  <c r="CH95" i="5" s="1"/>
  <c r="AU88" i="5"/>
  <c r="AO88" i="5" s="1"/>
  <c r="CJ88" i="5" s="1"/>
  <c r="AS85" i="5"/>
  <c r="AM85" i="5" s="1"/>
  <c r="CH85" i="5" s="1"/>
  <c r="AT83" i="5"/>
  <c r="AN83" i="5" s="1"/>
  <c r="CI83" i="5" s="1"/>
  <c r="AT79" i="5"/>
  <c r="AN79" i="5" s="1"/>
  <c r="CI79" i="5" s="1"/>
  <c r="AS86" i="5"/>
  <c r="AM86" i="5" s="1"/>
  <c r="CH86" i="5" s="1"/>
  <c r="AS83" i="5"/>
  <c r="AM83" i="5" s="1"/>
  <c r="CH83" i="5" s="1"/>
  <c r="AT88" i="5"/>
  <c r="AN88" i="5" s="1"/>
  <c r="CI88" i="5" s="1"/>
  <c r="AU78" i="5"/>
  <c r="AO78" i="5" s="1"/>
  <c r="CJ78" i="5" s="1"/>
  <c r="AS89" i="5"/>
  <c r="AM89" i="5" s="1"/>
  <c r="CH89" i="5" s="1"/>
  <c r="AS88" i="5"/>
  <c r="AM88" i="5" s="1"/>
  <c r="CH88" i="5" s="1"/>
  <c r="AT84" i="5"/>
  <c r="AN84" i="5" s="1"/>
  <c r="CI84" i="5" s="1"/>
  <c r="AT80" i="5"/>
  <c r="AN80" i="5" s="1"/>
  <c r="CI80" i="5" s="1"/>
  <c r="AT78" i="5"/>
  <c r="AN78" i="5" s="1"/>
  <c r="CI78" i="5" s="1"/>
  <c r="AT90" i="5"/>
  <c r="AN90" i="5" s="1"/>
  <c r="CI90" i="5" s="1"/>
  <c r="AR115" i="5"/>
  <c r="AS113" i="5"/>
  <c r="AM113" i="5" s="1"/>
  <c r="CH113" i="5" s="1"/>
  <c r="AS90" i="5"/>
  <c r="AM90" i="5" s="1"/>
  <c r="CH90" i="5" s="1"/>
  <c r="AS68" i="5"/>
  <c r="AM68" i="5" s="1"/>
  <c r="CH68" i="5" s="1"/>
  <c r="AS60" i="5"/>
  <c r="AM60" i="5" s="1"/>
  <c r="CH60" i="5" s="1"/>
  <c r="AS105" i="5"/>
  <c r="AM105" i="5" s="1"/>
  <c r="CH105" i="5" s="1"/>
  <c r="AU83" i="5"/>
  <c r="AO83" i="5" s="1"/>
  <c r="CJ83" i="5" s="1"/>
  <c r="AR68" i="5"/>
  <c r="AT66" i="5"/>
  <c r="AN66" i="5" s="1"/>
  <c r="CI66" i="5" s="1"/>
  <c r="AR71" i="5"/>
  <c r="AS66" i="5"/>
  <c r="AM66" i="5" s="1"/>
  <c r="CH66" i="5" s="1"/>
  <c r="AS91" i="5"/>
  <c r="AM91" i="5" s="1"/>
  <c r="CH91" i="5" s="1"/>
  <c r="AR66" i="5"/>
  <c r="AS61" i="5"/>
  <c r="AM61" i="5" s="1"/>
  <c r="CH61" i="5" s="1"/>
  <c r="AR69" i="5"/>
  <c r="AR95" i="5"/>
  <c r="AS67" i="5"/>
  <c r="AM67" i="5" s="1"/>
  <c r="CH67" i="5" s="1"/>
  <c r="AU75" i="5"/>
  <c r="AO75" i="5" s="1"/>
  <c r="CJ75" i="5" s="1"/>
  <c r="AR67" i="5"/>
  <c r="AS62" i="5"/>
  <c r="AM62" i="5" s="1"/>
  <c r="CH62" i="5" s="1"/>
  <c r="AT57" i="5"/>
  <c r="AN57" i="5" s="1"/>
  <c r="CI57" i="5" s="1"/>
  <c r="AR88" i="5"/>
  <c r="AT45" i="5"/>
  <c r="AN45" i="5" s="1"/>
  <c r="CI45" i="5" s="1"/>
  <c r="AT43" i="5"/>
  <c r="AN43" i="5" s="1"/>
  <c r="CI43" i="5" s="1"/>
  <c r="AT60" i="5"/>
  <c r="AN60" i="5" s="1"/>
  <c r="CI60" i="5" s="1"/>
  <c r="AS50" i="5"/>
  <c r="AM50" i="5" s="1"/>
  <c r="CH50" i="5" s="1"/>
  <c r="AS45" i="5"/>
  <c r="AM45" i="5" s="1"/>
  <c r="CH45" i="5" s="1"/>
  <c r="AR38" i="5"/>
  <c r="AT36" i="5"/>
  <c r="AN36" i="5" s="1"/>
  <c r="CI36" i="5" s="1"/>
  <c r="AS33" i="5"/>
  <c r="AM33" i="5" s="1"/>
  <c r="CH33" i="5" s="1"/>
  <c r="AR50" i="5"/>
  <c r="AS36" i="5"/>
  <c r="AM36" i="5" s="1"/>
  <c r="CH36" i="5" s="1"/>
  <c r="AR70" i="5"/>
  <c r="AR52" i="5"/>
  <c r="AU46" i="5"/>
  <c r="AO46" i="5" s="1"/>
  <c r="CJ46" i="5" s="1"/>
  <c r="AT46" i="5"/>
  <c r="AN46" i="5" s="1"/>
  <c r="CI46" i="5" s="1"/>
  <c r="AT44" i="5"/>
  <c r="AN44" i="5" s="1"/>
  <c r="CI44" i="5" s="1"/>
  <c r="AT85" i="5"/>
  <c r="AN85" i="5" s="1"/>
  <c r="CI85" i="5" s="1"/>
  <c r="AS46" i="5"/>
  <c r="AM46" i="5" s="1"/>
  <c r="CH46" i="5" s="1"/>
  <c r="AS37" i="5"/>
  <c r="AM37" i="5" s="1"/>
  <c r="CH37" i="5" s="1"/>
  <c r="AR51" i="5"/>
  <c r="AR46" i="5"/>
  <c r="AR37" i="5"/>
  <c r="AS34" i="5"/>
  <c r="AM34" i="5" s="1"/>
  <c r="CH34" i="5" s="1"/>
  <c r="AS9" i="5"/>
  <c r="AM9" i="5" s="1"/>
  <c r="CH9" i="5" s="1"/>
  <c r="AS84" i="5"/>
  <c r="AM84" i="5" s="1"/>
  <c r="CH84" i="5" s="1"/>
  <c r="AS24" i="5"/>
  <c r="AM24" i="5" s="1"/>
  <c r="CH24" i="5" s="1"/>
  <c r="AT17" i="5"/>
  <c r="AN17" i="5" s="1"/>
  <c r="CI17" i="5" s="1"/>
  <c r="AS5" i="5"/>
  <c r="AM5" i="5" s="1"/>
  <c r="CH5" i="5" s="1"/>
  <c r="AR6" i="5"/>
  <c r="AR39" i="5"/>
  <c r="AT29" i="5"/>
  <c r="AN29" i="5" s="1"/>
  <c r="CI29" i="5" s="1"/>
  <c r="AR24" i="5"/>
  <c r="AS17" i="5"/>
  <c r="AM17" i="5" s="1"/>
  <c r="CH17" i="5" s="1"/>
  <c r="AR11" i="5"/>
  <c r="AU45" i="5"/>
  <c r="AO45" i="5" s="1"/>
  <c r="CJ45" i="5" s="1"/>
  <c r="AR36" i="5"/>
  <c r="AT32" i="5"/>
  <c r="AN32" i="5" s="1"/>
  <c r="CI32" i="5" s="1"/>
  <c r="AS21" i="5"/>
  <c r="AM21" i="5" s="1"/>
  <c r="CH21" i="5" s="1"/>
  <c r="AT15" i="5"/>
  <c r="AN15" i="5" s="1"/>
  <c r="CI15" i="5" s="1"/>
  <c r="AS32" i="5"/>
  <c r="AM32" i="5" s="1"/>
  <c r="CH32" i="5" s="1"/>
  <c r="AR25" i="5"/>
  <c r="AT18" i="5"/>
  <c r="AN18" i="5" s="1"/>
  <c r="CI18" i="5" s="1"/>
  <c r="AS11" i="5"/>
  <c r="AM11" i="5" s="1"/>
  <c r="CH11" i="5" s="1"/>
  <c r="AS6" i="5"/>
  <c r="AM6" i="5" s="1"/>
  <c r="CH6" i="5" s="1"/>
  <c r="AR12" i="5"/>
  <c r="AS18" i="5"/>
  <c r="AM18" i="5" s="1"/>
  <c r="CH18" i="5" s="1"/>
  <c r="AU43" i="5"/>
  <c r="AO43" i="5" s="1"/>
  <c r="CJ43" i="5" s="1"/>
  <c r="AS39" i="5"/>
  <c r="AM39" i="5" s="1"/>
  <c r="CH39" i="5" s="1"/>
  <c r="AR26" i="5"/>
  <c r="AR18" i="5"/>
  <c r="AU41" i="5"/>
  <c r="AO41" i="5" s="1"/>
  <c r="CJ41" i="5" s="1"/>
  <c r="AU136" i="4"/>
  <c r="AR117" i="4"/>
  <c r="AS98" i="4"/>
  <c r="AS87" i="4"/>
  <c r="AT82" i="4"/>
  <c r="AT72" i="4"/>
  <c r="AT58" i="4"/>
  <c r="AR54" i="4"/>
  <c r="AS51" i="4"/>
  <c r="AU42" i="4"/>
  <c r="AS35" i="4"/>
  <c r="AR27" i="4"/>
  <c r="AT136" i="4"/>
  <c r="AU131" i="4"/>
  <c r="AR98" i="4"/>
  <c r="AS72" i="4"/>
  <c r="AS70" i="4"/>
  <c r="AS64" i="4"/>
  <c r="AS48" i="4"/>
  <c r="AR13" i="4"/>
  <c r="AV145" i="4"/>
  <c r="AU134" i="4"/>
  <c r="AT131" i="4"/>
  <c r="AU126" i="4"/>
  <c r="AT114" i="4"/>
  <c r="AT112" i="4"/>
  <c r="AT108" i="4"/>
  <c r="AT106" i="4"/>
  <c r="AU91" i="4"/>
  <c r="AR72" i="4"/>
  <c r="AS53" i="4"/>
  <c r="AU129" i="4"/>
  <c r="AT126" i="4"/>
  <c r="AU121" i="4"/>
  <c r="AS118" i="4"/>
  <c r="AS114" i="4"/>
  <c r="AS108" i="4"/>
  <c r="AT91" i="4"/>
  <c r="AU86" i="4"/>
  <c r="AR53" i="4"/>
  <c r="AT38" i="4"/>
  <c r="AT30" i="4"/>
  <c r="AS13" i="4"/>
  <c r="AV142" i="4"/>
  <c r="AU132" i="4"/>
  <c r="AU124" i="4"/>
  <c r="AR118" i="4"/>
  <c r="AU89" i="4"/>
  <c r="AT86" i="4"/>
  <c r="AU81" i="4"/>
  <c r="AT69" i="4"/>
  <c r="AT67" i="4"/>
  <c r="AT63" i="4"/>
  <c r="AT61" i="4"/>
  <c r="AS38" i="4"/>
  <c r="AS10" i="4"/>
  <c r="AT132" i="4"/>
  <c r="AU84" i="4"/>
  <c r="AT81" i="4"/>
  <c r="AU76" i="4"/>
  <c r="AS73" i="4"/>
  <c r="AS69" i="4"/>
  <c r="AS63" i="4"/>
  <c r="AS25" i="4"/>
  <c r="AV147" i="4"/>
  <c r="AV143" i="4"/>
  <c r="AV139" i="4"/>
  <c r="AS132" i="4"/>
  <c r="AT127" i="4"/>
  <c r="AT117" i="4"/>
  <c r="AT103" i="4"/>
  <c r="AR99" i="4"/>
  <c r="AS96" i="4"/>
  <c r="AU87" i="4"/>
  <c r="AU79" i="4"/>
  <c r="AR73" i="4"/>
  <c r="AU44" i="4"/>
  <c r="AS22" i="4"/>
  <c r="AS12" i="4"/>
  <c r="AU143" i="4"/>
  <c r="AS117" i="4"/>
  <c r="AS115" i="4"/>
  <c r="AS109" i="4"/>
  <c r="AS93" i="4"/>
  <c r="AT87" i="4"/>
  <c r="AT37" i="4"/>
  <c r="AT35" i="4"/>
  <c r="AT33" i="4"/>
  <c r="AS27" i="4"/>
  <c r="AT16" i="4"/>
  <c r="AV148" i="4"/>
  <c r="AT147" i="4"/>
  <c r="AV144" i="4"/>
  <c r="AR135" i="4"/>
  <c r="AT133" i="4"/>
  <c r="AS130" i="4"/>
  <c r="AU128" i="4"/>
  <c r="AT125" i="4"/>
  <c r="AU120" i="4"/>
  <c r="AR115" i="4"/>
  <c r="AR113" i="4"/>
  <c r="AR111" i="4"/>
  <c r="AT90" i="4"/>
  <c r="AT66" i="4"/>
  <c r="AT60" i="4"/>
  <c r="AS39" i="4"/>
  <c r="AS37" i="4"/>
  <c r="AS33" i="4"/>
  <c r="AS24" i="4"/>
  <c r="AS5" i="4"/>
  <c r="AU148" i="4"/>
  <c r="AS147" i="4"/>
  <c r="AU144" i="4"/>
  <c r="AS133" i="4"/>
  <c r="AT128" i="4"/>
  <c r="AU123" i="4"/>
  <c r="AS95" i="4"/>
  <c r="AS90" i="4"/>
  <c r="AU88" i="4"/>
  <c r="AT85" i="4"/>
  <c r="AS68" i="4"/>
  <c r="AS66" i="4"/>
  <c r="AS62" i="4"/>
  <c r="AS60" i="4"/>
  <c r="AR51" i="4"/>
  <c r="AU45" i="4"/>
  <c r="AR39" i="4"/>
  <c r="AR37" i="4"/>
  <c r="AR24" i="4"/>
  <c r="AS21" i="4"/>
  <c r="AR18" i="4"/>
  <c r="AS11" i="4"/>
  <c r="AT148" i="4"/>
  <c r="AT144" i="4"/>
  <c r="AV141" i="4"/>
  <c r="AS136" i="4"/>
  <c r="AR133" i="4"/>
  <c r="AS128" i="4"/>
  <c r="AT123" i="4"/>
  <c r="AT102" i="4"/>
  <c r="AR95" i="4"/>
  <c r="AR90" i="4"/>
  <c r="AT88" i="4"/>
  <c r="AS85" i="4"/>
  <c r="AU83" i="4"/>
  <c r="AT80" i="4"/>
  <c r="AU75" i="4"/>
  <c r="AR70" i="4"/>
  <c r="AR68" i="4"/>
  <c r="AR66" i="4"/>
  <c r="AT45" i="4"/>
  <c r="AR11" i="4"/>
  <c r="AS148" i="4"/>
  <c r="AU145" i="4"/>
  <c r="AU141" i="4"/>
  <c r="AR136" i="4"/>
  <c r="AT134" i="4"/>
  <c r="AS131" i="4"/>
  <c r="AS112" i="4"/>
  <c r="AS106" i="4"/>
  <c r="AS88" i="4"/>
  <c r="AT83" i="4"/>
  <c r="AU78" i="4"/>
  <c r="AS50" i="4"/>
  <c r="AS45" i="4"/>
  <c r="AU43" i="4"/>
  <c r="AT36" i="4"/>
  <c r="AT32" i="4"/>
  <c r="AR26" i="4"/>
  <c r="AT17" i="4"/>
  <c r="AT15" i="4"/>
  <c r="AR148" i="4"/>
  <c r="AV146" i="4"/>
  <c r="AT145" i="4"/>
  <c r="AV138" i="4"/>
  <c r="AS134" i="4"/>
  <c r="AT129" i="4"/>
  <c r="AR116" i="4"/>
  <c r="AR114" i="4"/>
  <c r="AR112" i="4"/>
  <c r="AR97" i="4"/>
  <c r="AS91" i="4"/>
  <c r="AR88" i="4"/>
  <c r="AS83" i="4"/>
  <c r="AT78" i="4"/>
  <c r="AT57" i="4"/>
  <c r="AR50" i="4"/>
  <c r="AU46" i="4"/>
  <c r="AT43" i="4"/>
  <c r="AS36" i="4"/>
  <c r="AS34" i="4"/>
  <c r="AS32" i="4"/>
  <c r="AS17" i="4"/>
  <c r="AU146" i="4"/>
  <c r="AU142" i="4"/>
  <c r="AR134" i="4"/>
  <c r="AS129" i="4"/>
  <c r="AT124" i="4"/>
  <c r="AR91" i="4"/>
  <c r="AT89" i="4"/>
  <c r="AS86" i="4"/>
  <c r="AS67" i="4"/>
  <c r="AS61" i="4"/>
  <c r="AT46" i="4"/>
  <c r="AU41" i="4"/>
  <c r="AR38" i="4"/>
  <c r="AR36" i="4"/>
  <c r="AS6" i="4"/>
  <c r="AT146" i="4"/>
  <c r="AT135" i="4"/>
  <c r="AT111" i="4"/>
  <c r="AT105" i="4"/>
  <c r="AS89" i="4"/>
  <c r="AT84" i="4"/>
  <c r="AR71" i="4"/>
  <c r="AR69" i="4"/>
  <c r="AR67" i="4"/>
  <c r="AR52" i="4"/>
  <c r="AS46" i="4"/>
  <c r="AR25" i="4"/>
  <c r="AR6" i="4"/>
  <c r="AS18" i="4"/>
  <c r="AU147" i="4"/>
  <c r="AS146" i="4"/>
  <c r="AS135" i="4"/>
  <c r="AU133" i="4"/>
  <c r="AT130" i="4"/>
  <c r="AS113" i="4"/>
  <c r="AS111" i="4"/>
  <c r="AS107" i="4"/>
  <c r="AS105" i="4"/>
  <c r="AR96" i="4"/>
  <c r="AR89" i="4"/>
  <c r="AS84" i="4"/>
  <c r="AT79" i="4"/>
  <c r="AR46" i="4"/>
  <c r="AT44" i="4"/>
  <c r="AT29" i="4"/>
  <c r="AT18" i="4"/>
  <c r="AR12" i="4"/>
  <c r="AS9" i="4"/>
  <c r="AU131" i="3"/>
  <c r="AU129" i="3"/>
  <c r="AU121" i="3"/>
  <c r="AS117" i="3"/>
  <c r="AT114" i="3"/>
  <c r="AS109" i="3"/>
  <c r="AT106" i="3"/>
  <c r="AS93" i="3"/>
  <c r="AT63" i="3"/>
  <c r="AS51" i="3"/>
  <c r="AU44" i="3"/>
  <c r="AU42" i="3"/>
  <c r="AS38" i="3"/>
  <c r="AT35" i="3"/>
  <c r="AS27" i="3"/>
  <c r="AR13" i="3"/>
  <c r="AS132" i="3"/>
  <c r="AV145" i="3"/>
  <c r="AR98" i="3"/>
  <c r="AS69" i="3"/>
  <c r="AT38" i="3"/>
  <c r="AV143" i="3"/>
  <c r="AT131" i="3"/>
  <c r="AT127" i="3"/>
  <c r="AR117" i="3"/>
  <c r="AS114" i="3"/>
  <c r="AT103" i="3"/>
  <c r="AS63" i="3"/>
  <c r="AS35" i="3"/>
  <c r="AR27" i="3"/>
  <c r="AS12" i="3"/>
  <c r="AS115" i="3"/>
  <c r="AS98" i="3"/>
  <c r="AS72" i="3"/>
  <c r="AT86" i="3"/>
  <c r="AT30" i="3"/>
  <c r="AU143" i="3"/>
  <c r="AT108" i="3"/>
  <c r="AS96" i="3"/>
  <c r="AU91" i="3"/>
  <c r="AU89" i="3"/>
  <c r="AU87" i="3"/>
  <c r="AU81" i="3"/>
  <c r="AU79" i="3"/>
  <c r="AT37" i="3"/>
  <c r="AS22" i="3"/>
  <c r="AR118" i="3"/>
  <c r="AU86" i="3"/>
  <c r="AS64" i="3"/>
  <c r="AT33" i="3"/>
  <c r="AS108" i="3"/>
  <c r="AT91" i="3"/>
  <c r="AT87" i="3"/>
  <c r="AT81" i="3"/>
  <c r="AS73" i="3"/>
  <c r="AR54" i="3"/>
  <c r="AV142" i="3"/>
  <c r="AU84" i="3"/>
  <c r="AS48" i="3"/>
  <c r="AS13" i="3"/>
  <c r="AU136" i="3"/>
  <c r="AU134" i="3"/>
  <c r="AU132" i="3"/>
  <c r="AU126" i="3"/>
  <c r="AU124" i="3"/>
  <c r="AS87" i="3"/>
  <c r="AR73" i="3"/>
  <c r="AS70" i="3"/>
  <c r="AT67" i="3"/>
  <c r="AS53" i="3"/>
  <c r="AS25" i="3"/>
  <c r="AU76" i="3"/>
  <c r="AT61" i="3"/>
  <c r="AT117" i="3"/>
  <c r="AT82" i="3"/>
  <c r="AR72" i="3"/>
  <c r="AT58" i="3"/>
  <c r="AV147" i="3"/>
  <c r="AV139" i="3"/>
  <c r="AT136" i="3"/>
  <c r="AT132" i="3"/>
  <c r="AT126" i="3"/>
  <c r="AS118" i="3"/>
  <c r="AR99" i="3"/>
  <c r="AT72" i="3"/>
  <c r="AR53" i="3"/>
  <c r="AS10" i="3"/>
  <c r="AT112" i="3"/>
  <c r="AT69" i="3"/>
  <c r="AT16" i="3"/>
  <c r="AV148" i="3"/>
  <c r="AS147" i="3"/>
  <c r="AU145" i="3"/>
  <c r="AU133" i="3"/>
  <c r="AU123" i="3"/>
  <c r="AR112" i="3"/>
  <c r="AS90" i="3"/>
  <c r="AS88" i="3"/>
  <c r="AS86" i="3"/>
  <c r="AS84" i="3"/>
  <c r="AR69" i="3"/>
  <c r="AS66" i="3"/>
  <c r="AU46" i="3"/>
  <c r="AT18" i="3"/>
  <c r="AU88" i="3"/>
  <c r="AT84" i="3"/>
  <c r="AR24" i="3"/>
  <c r="AU148" i="3"/>
  <c r="AT145" i="3"/>
  <c r="AT135" i="3"/>
  <c r="AT133" i="3"/>
  <c r="AT129" i="3"/>
  <c r="AT125" i="3"/>
  <c r="AT123" i="3"/>
  <c r="AT111" i="3"/>
  <c r="AS106" i="3"/>
  <c r="AR97" i="3"/>
  <c r="AR90" i="3"/>
  <c r="AR88" i="3"/>
  <c r="AR66" i="3"/>
  <c r="AT60" i="3"/>
  <c r="AR51" i="3"/>
  <c r="AT46" i="3"/>
  <c r="AT44" i="3"/>
  <c r="AR38" i="3"/>
  <c r="AT32" i="3"/>
  <c r="AS18" i="3"/>
  <c r="AT15" i="3"/>
  <c r="AS136" i="3"/>
  <c r="AS36" i="3"/>
  <c r="AT147" i="3"/>
  <c r="AR136" i="3"/>
  <c r="AR115" i="3"/>
  <c r="AS61" i="3"/>
  <c r="AS9" i="3"/>
  <c r="AT148" i="3"/>
  <c r="AV146" i="3"/>
  <c r="AV138" i="3"/>
  <c r="AS135" i="3"/>
  <c r="AS133" i="3"/>
  <c r="AS131" i="3"/>
  <c r="AS129" i="3"/>
  <c r="AR114" i="3"/>
  <c r="AS111" i="3"/>
  <c r="AU83" i="3"/>
  <c r="AU75" i="3"/>
  <c r="AR71" i="3"/>
  <c r="AS68" i="3"/>
  <c r="AS60" i="3"/>
  <c r="AT57" i="3"/>
  <c r="AS50" i="3"/>
  <c r="AS46" i="3"/>
  <c r="AS32" i="3"/>
  <c r="AT29" i="3"/>
  <c r="AR18" i="3"/>
  <c r="AR12" i="3"/>
  <c r="AT144" i="3"/>
  <c r="AS130" i="3"/>
  <c r="AU78" i="3"/>
  <c r="AS45" i="3"/>
  <c r="AR134" i="3"/>
  <c r="AS112" i="3"/>
  <c r="AT80" i="3"/>
  <c r="AT66" i="3"/>
  <c r="AS33" i="3"/>
  <c r="AS148" i="3"/>
  <c r="AU146" i="3"/>
  <c r="AV141" i="3"/>
  <c r="AR135" i="3"/>
  <c r="AR133" i="3"/>
  <c r="AR111" i="3"/>
  <c r="AT105" i="3"/>
  <c r="AR96" i="3"/>
  <c r="AT89" i="3"/>
  <c r="AT85" i="3"/>
  <c r="AT83" i="3"/>
  <c r="AT79" i="3"/>
  <c r="AR68" i="3"/>
  <c r="AR50" i="3"/>
  <c r="AR46" i="3"/>
  <c r="AS37" i="3"/>
  <c r="AR26" i="3"/>
  <c r="AT17" i="3"/>
  <c r="AS11" i="3"/>
  <c r="AS6" i="3"/>
  <c r="AS128" i="3"/>
  <c r="AR67" i="3"/>
  <c r="AU142" i="3"/>
  <c r="AT90" i="3"/>
  <c r="AR52" i="3"/>
  <c r="AR36" i="3"/>
  <c r="AR148" i="3"/>
  <c r="AT146" i="3"/>
  <c r="AV144" i="3"/>
  <c r="AU141" i="3"/>
  <c r="AU128" i="3"/>
  <c r="AU120" i="3"/>
  <c r="AR116" i="3"/>
  <c r="AS113" i="3"/>
  <c r="AS105" i="3"/>
  <c r="AT102" i="3"/>
  <c r="AS95" i="3"/>
  <c r="AS91" i="3"/>
  <c r="AS89" i="3"/>
  <c r="AS85" i="3"/>
  <c r="AS83" i="3"/>
  <c r="AS62" i="3"/>
  <c r="AU45" i="3"/>
  <c r="AU43" i="3"/>
  <c r="AU41" i="3"/>
  <c r="AR37" i="3"/>
  <c r="AS34" i="3"/>
  <c r="AS21" i="3"/>
  <c r="AS17" i="3"/>
  <c r="AR11" i="3"/>
  <c r="AR6" i="3"/>
  <c r="AS134" i="3"/>
  <c r="AS107" i="3"/>
  <c r="AS24" i="3"/>
  <c r="AS146" i="3"/>
  <c r="AU144" i="3"/>
  <c r="AT134" i="3"/>
  <c r="AT130" i="3"/>
  <c r="AT128" i="3"/>
  <c r="AT124" i="3"/>
  <c r="AR113" i="3"/>
  <c r="AR95" i="3"/>
  <c r="AR91" i="3"/>
  <c r="AR89" i="3"/>
  <c r="AR70" i="3"/>
  <c r="AS67" i="3"/>
  <c r="AT45" i="3"/>
  <c r="AT43" i="3"/>
  <c r="AS39" i="3"/>
  <c r="AT36" i="3"/>
  <c r="AR25" i="3"/>
  <c r="AS5" i="3"/>
  <c r="AU147" i="3"/>
  <c r="AR39" i="3"/>
  <c r="AT88" i="3"/>
  <c r="AT78" i="3"/>
  <c r="J34" i="13"/>
  <c r="J6" i="13"/>
  <c r="J18" i="13"/>
  <c r="AR91" i="5" l="1"/>
  <c r="AS107" i="5"/>
  <c r="AM107" i="5" s="1"/>
  <c r="CH107" i="5" s="1"/>
  <c r="AS111" i="5"/>
  <c r="AM111" i="5" s="1"/>
  <c r="CH111" i="5" s="1"/>
  <c r="AV148" i="5"/>
  <c r="AP148" i="5" s="1"/>
  <c r="CK148" i="5" s="1"/>
  <c r="AT134" i="5"/>
  <c r="AN134" i="5" s="1"/>
  <c r="CI134" i="5" s="1"/>
  <c r="AV146" i="5"/>
  <c r="AP146" i="5" s="1"/>
  <c r="CK146" i="5" s="1"/>
  <c r="AV144" i="5"/>
  <c r="AP144" i="5" s="1"/>
  <c r="CK144" i="5" s="1"/>
  <c r="AQ95" i="4"/>
  <c r="AQ36" i="4"/>
  <c r="AQ46" i="4"/>
  <c r="AL148" i="5"/>
  <c r="AL69" i="5"/>
  <c r="AQ69" i="5"/>
  <c r="AQ88" i="5"/>
  <c r="AL88" i="5"/>
  <c r="AL97" i="5"/>
  <c r="AT143" i="5"/>
  <c r="AN143" i="5" s="1"/>
  <c r="CI143" i="5" s="1"/>
  <c r="AR141" i="5"/>
  <c r="AU140" i="5"/>
  <c r="AO140" i="5" s="1"/>
  <c r="CJ140" i="5" s="1"/>
  <c r="AS138" i="5"/>
  <c r="AM138" i="5" s="1"/>
  <c r="CH138" i="5" s="1"/>
  <c r="AV137" i="5"/>
  <c r="AP137" i="5" s="1"/>
  <c r="CK137" i="5" s="1"/>
  <c r="AR146" i="5"/>
  <c r="AS143" i="5"/>
  <c r="AM143" i="5" s="1"/>
  <c r="CH143" i="5" s="1"/>
  <c r="AT140" i="5"/>
  <c r="AN140" i="5" s="1"/>
  <c r="CI140" i="5" s="1"/>
  <c r="AR138" i="5"/>
  <c r="AU137" i="5"/>
  <c r="AO137" i="5" s="1"/>
  <c r="CJ137" i="5" s="1"/>
  <c r="AR143" i="5"/>
  <c r="AS140" i="5"/>
  <c r="AM140" i="5" s="1"/>
  <c r="CH140" i="5" s="1"/>
  <c r="AT137" i="5"/>
  <c r="AN137" i="5" s="1"/>
  <c r="CI137" i="5" s="1"/>
  <c r="AS145" i="5"/>
  <c r="AM145" i="5" s="1"/>
  <c r="CH145" i="5" s="1"/>
  <c r="AT142" i="5"/>
  <c r="AN142" i="5" s="1"/>
  <c r="CI142" i="5" s="1"/>
  <c r="AR140" i="5"/>
  <c r="AU139" i="5"/>
  <c r="AO139" i="5" s="1"/>
  <c r="CJ139" i="5" s="1"/>
  <c r="AS137" i="5"/>
  <c r="AM137" i="5" s="1"/>
  <c r="CH137" i="5" s="1"/>
  <c r="AR145" i="5"/>
  <c r="AS142" i="5"/>
  <c r="AM142" i="5" s="1"/>
  <c r="CH142" i="5" s="1"/>
  <c r="AT139" i="5"/>
  <c r="AN139" i="5" s="1"/>
  <c r="CI139" i="5" s="1"/>
  <c r="AR137" i="5"/>
  <c r="AR142" i="5"/>
  <c r="AS139" i="5"/>
  <c r="AM139" i="5" s="1"/>
  <c r="CH139" i="5" s="1"/>
  <c r="AR147" i="5"/>
  <c r="AS144" i="5"/>
  <c r="AM144" i="5" s="1"/>
  <c r="CH144" i="5" s="1"/>
  <c r="AT141" i="5"/>
  <c r="AN141" i="5" s="1"/>
  <c r="CI141" i="5" s="1"/>
  <c r="AR139" i="5"/>
  <c r="AU138" i="5"/>
  <c r="AO138" i="5" s="1"/>
  <c r="CJ138" i="5" s="1"/>
  <c r="AS141" i="5"/>
  <c r="AM141" i="5" s="1"/>
  <c r="CH141" i="5" s="1"/>
  <c r="AR130" i="5"/>
  <c r="AR128" i="5"/>
  <c r="AR126" i="5"/>
  <c r="AR124" i="5"/>
  <c r="AR122" i="5"/>
  <c r="AR120" i="5"/>
  <c r="AU119" i="5"/>
  <c r="AO119" i="5" s="1"/>
  <c r="CJ119" i="5" s="1"/>
  <c r="AR132" i="5"/>
  <c r="AT121" i="5"/>
  <c r="AN121" i="5" s="1"/>
  <c r="CI121" i="5" s="1"/>
  <c r="AT119" i="5"/>
  <c r="AN119" i="5" s="1"/>
  <c r="CI119" i="5" s="1"/>
  <c r="AT138" i="5"/>
  <c r="AN138" i="5" s="1"/>
  <c r="CI138" i="5" s="1"/>
  <c r="AS127" i="5"/>
  <c r="AM127" i="5" s="1"/>
  <c r="CH127" i="5" s="1"/>
  <c r="AS125" i="5"/>
  <c r="AM125" i="5" s="1"/>
  <c r="CH125" i="5" s="1"/>
  <c r="AS123" i="5"/>
  <c r="AM123" i="5" s="1"/>
  <c r="CH123" i="5" s="1"/>
  <c r="AS121" i="5"/>
  <c r="AM121" i="5" s="1"/>
  <c r="CH121" i="5" s="1"/>
  <c r="AS119" i="5"/>
  <c r="AM119" i="5" s="1"/>
  <c r="CH119" i="5" s="1"/>
  <c r="AR131" i="5"/>
  <c r="AR129" i="5"/>
  <c r="AR127" i="5"/>
  <c r="AR125" i="5"/>
  <c r="AR123" i="5"/>
  <c r="AR121" i="5"/>
  <c r="AR119" i="5"/>
  <c r="AR144" i="5"/>
  <c r="AS124" i="5"/>
  <c r="AM124" i="5" s="1"/>
  <c r="CH124" i="5" s="1"/>
  <c r="AT122" i="5"/>
  <c r="AN122" i="5" s="1"/>
  <c r="CI122" i="5" s="1"/>
  <c r="AR108" i="5"/>
  <c r="AS122" i="5"/>
  <c r="AM122" i="5" s="1"/>
  <c r="CH122" i="5" s="1"/>
  <c r="AR103" i="5"/>
  <c r="AT101" i="5"/>
  <c r="AN101" i="5" s="1"/>
  <c r="CI101" i="5" s="1"/>
  <c r="AR109" i="5"/>
  <c r="AS104" i="5"/>
  <c r="AM104" i="5" s="1"/>
  <c r="CH104" i="5" s="1"/>
  <c r="AR101" i="5"/>
  <c r="AS126" i="5"/>
  <c r="AM126" i="5" s="1"/>
  <c r="CH126" i="5" s="1"/>
  <c r="AR104" i="5"/>
  <c r="AS120" i="5"/>
  <c r="AM120" i="5" s="1"/>
  <c r="CH120" i="5" s="1"/>
  <c r="AR107" i="5"/>
  <c r="AR106" i="5"/>
  <c r="AS103" i="5"/>
  <c r="AM103" i="5" s="1"/>
  <c r="CH103" i="5" s="1"/>
  <c r="AR93" i="5"/>
  <c r="AR110" i="5"/>
  <c r="AR105" i="5"/>
  <c r="AR102" i="5"/>
  <c r="AR94" i="5"/>
  <c r="AR87" i="5"/>
  <c r="AR85" i="5"/>
  <c r="AT77" i="5"/>
  <c r="AN77" i="5" s="1"/>
  <c r="CI77" i="5" s="1"/>
  <c r="AT75" i="5"/>
  <c r="AN75" i="5" s="1"/>
  <c r="CI75" i="5" s="1"/>
  <c r="AS81" i="5"/>
  <c r="AM81" i="5" s="1"/>
  <c r="CH81" i="5" s="1"/>
  <c r="AS79" i="5"/>
  <c r="AM79" i="5" s="1"/>
  <c r="CH79" i="5" s="1"/>
  <c r="AS77" i="5"/>
  <c r="AM77" i="5" s="1"/>
  <c r="CH77" i="5" s="1"/>
  <c r="AS75" i="5"/>
  <c r="AM75" i="5" s="1"/>
  <c r="CH75" i="5" s="1"/>
  <c r="AR86" i="5"/>
  <c r="AR83" i="5"/>
  <c r="AR81" i="5"/>
  <c r="AR79" i="5"/>
  <c r="AR77" i="5"/>
  <c r="AT120" i="5"/>
  <c r="AN120" i="5" s="1"/>
  <c r="CI120" i="5" s="1"/>
  <c r="AS102" i="5"/>
  <c r="AM102" i="5" s="1"/>
  <c r="CH102" i="5" s="1"/>
  <c r="AS101" i="5"/>
  <c r="AM101" i="5" s="1"/>
  <c r="CH101" i="5" s="1"/>
  <c r="AR84" i="5"/>
  <c r="AR82" i="5"/>
  <c r="AR80" i="5"/>
  <c r="AR78" i="5"/>
  <c r="AS76" i="5"/>
  <c r="AM76" i="5" s="1"/>
  <c r="CH76" i="5" s="1"/>
  <c r="AU74" i="5"/>
  <c r="AO74" i="5" s="1"/>
  <c r="CJ74" i="5" s="1"/>
  <c r="AR65" i="5"/>
  <c r="AR57" i="5"/>
  <c r="AR76" i="5"/>
  <c r="AT74" i="5"/>
  <c r="AN74" i="5" s="1"/>
  <c r="CI74" i="5" s="1"/>
  <c r="AS74" i="5"/>
  <c r="AM74" i="5" s="1"/>
  <c r="CH74" i="5" s="1"/>
  <c r="AR63" i="5"/>
  <c r="AS58" i="5"/>
  <c r="AM58" i="5" s="1"/>
  <c r="CH58" i="5" s="1"/>
  <c r="AS82" i="5"/>
  <c r="AM82" i="5" s="1"/>
  <c r="CH82" i="5" s="1"/>
  <c r="AS78" i="5"/>
  <c r="AM78" i="5" s="1"/>
  <c r="CH78" i="5" s="1"/>
  <c r="AR74" i="5"/>
  <c r="AR58" i="5"/>
  <c r="AR61" i="5"/>
  <c r="AR64" i="5"/>
  <c r="AS59" i="5"/>
  <c r="AM59" i="5" s="1"/>
  <c r="CH59" i="5" s="1"/>
  <c r="AR59" i="5"/>
  <c r="AS80" i="5"/>
  <c r="AM80" i="5" s="1"/>
  <c r="CH80" i="5" s="1"/>
  <c r="AR56" i="5"/>
  <c r="AS57" i="5"/>
  <c r="AM57" i="5" s="1"/>
  <c r="CH57" i="5" s="1"/>
  <c r="AS43" i="5"/>
  <c r="AM43" i="5" s="1"/>
  <c r="CH43" i="5" s="1"/>
  <c r="AS41" i="5"/>
  <c r="AM41" i="5" s="1"/>
  <c r="CH41" i="5" s="1"/>
  <c r="AT76" i="5"/>
  <c r="AN76" i="5" s="1"/>
  <c r="CI76" i="5" s="1"/>
  <c r="AR60" i="5"/>
  <c r="AR45" i="5"/>
  <c r="AR43" i="5"/>
  <c r="AR41" i="5"/>
  <c r="AR48" i="5"/>
  <c r="AT42" i="5"/>
  <c r="AN42" i="5" s="1"/>
  <c r="CI42" i="5" s="1"/>
  <c r="AT40" i="5"/>
  <c r="AN40" i="5" s="1"/>
  <c r="CI40" i="5" s="1"/>
  <c r="AS44" i="5"/>
  <c r="AM44" i="5" s="1"/>
  <c r="CH44" i="5" s="1"/>
  <c r="AS42" i="5"/>
  <c r="AM42" i="5" s="1"/>
  <c r="CH42" i="5" s="1"/>
  <c r="AS40" i="5"/>
  <c r="AM40" i="5" s="1"/>
  <c r="CH40" i="5" s="1"/>
  <c r="AR75" i="5"/>
  <c r="AT56" i="5"/>
  <c r="AN56" i="5" s="1"/>
  <c r="CI56" i="5" s="1"/>
  <c r="AR49" i="5"/>
  <c r="AR44" i="5"/>
  <c r="AR42" i="5"/>
  <c r="AR40" i="5"/>
  <c r="AT41" i="5"/>
  <c r="AN41" i="5" s="1"/>
  <c r="CI41" i="5" s="1"/>
  <c r="AS28" i="5"/>
  <c r="AM28" i="5" s="1"/>
  <c r="CH28" i="5" s="1"/>
  <c r="AR23" i="5"/>
  <c r="AR16" i="5"/>
  <c r="AT14" i="5"/>
  <c r="AN14" i="5" s="1"/>
  <c r="CI14" i="5" s="1"/>
  <c r="AS4" i="5"/>
  <c r="AM4" i="5" s="1"/>
  <c r="CH4" i="5" s="1"/>
  <c r="AR30" i="5"/>
  <c r="AT28" i="5"/>
  <c r="AN28" i="5" s="1"/>
  <c r="CI28" i="5" s="1"/>
  <c r="AS16" i="5"/>
  <c r="AM16" i="5" s="1"/>
  <c r="CH16" i="5" s="1"/>
  <c r="AR8" i="5"/>
  <c r="AR34" i="5"/>
  <c r="AS31" i="5"/>
  <c r="AM31" i="5" s="1"/>
  <c r="CH31" i="5" s="1"/>
  <c r="AR28" i="5"/>
  <c r="AS20" i="5"/>
  <c r="AM20" i="5" s="1"/>
  <c r="CH20" i="5" s="1"/>
  <c r="AS14" i="5"/>
  <c r="AM14" i="5" s="1"/>
  <c r="CH14" i="5" s="1"/>
  <c r="AR9" i="5"/>
  <c r="AR4" i="5"/>
  <c r="AR33" i="5"/>
  <c r="AR31" i="5"/>
  <c r="AR20" i="5"/>
  <c r="AR14" i="5"/>
  <c r="AS29" i="5"/>
  <c r="AM29" i="5" s="1"/>
  <c r="CH29" i="5" s="1"/>
  <c r="AR17" i="5"/>
  <c r="AR10" i="5"/>
  <c r="AR5" i="5"/>
  <c r="AR29" i="5"/>
  <c r="AR21" i="5"/>
  <c r="AS15" i="5"/>
  <c r="AM15" i="5" s="1"/>
  <c r="CH15" i="5" s="1"/>
  <c r="AR15" i="5"/>
  <c r="AR35" i="5"/>
  <c r="AR32" i="5"/>
  <c r="AS56" i="5"/>
  <c r="AM56" i="5" s="1"/>
  <c r="CH56" i="5" s="1"/>
  <c r="AU40" i="5"/>
  <c r="AO40" i="5" s="1"/>
  <c r="CJ40" i="5" s="1"/>
  <c r="AS30" i="5"/>
  <c r="AM30" i="5" s="1"/>
  <c r="CH30" i="5" s="1"/>
  <c r="AR22" i="5"/>
  <c r="AS8" i="5"/>
  <c r="AM8" i="5" s="1"/>
  <c r="CH8" i="5" s="1"/>
  <c r="AR62" i="5"/>
  <c r="AQ38" i="5"/>
  <c r="AL38" i="5"/>
  <c r="AQ114" i="5"/>
  <c r="AL114" i="5"/>
  <c r="AL113" i="5"/>
  <c r="AL135" i="5"/>
  <c r="AQ13" i="5"/>
  <c r="AL13" i="5"/>
  <c r="AL112" i="5"/>
  <c r="AQ112" i="5"/>
  <c r="AL116" i="5"/>
  <c r="AQ66" i="5"/>
  <c r="AL66" i="5"/>
  <c r="AL133" i="5"/>
  <c r="AQ133" i="5"/>
  <c r="AL39" i="5"/>
  <c r="AL37" i="5"/>
  <c r="AQ37" i="5"/>
  <c r="AL67" i="5"/>
  <c r="AQ67" i="5"/>
  <c r="AL90" i="5"/>
  <c r="AL73" i="5"/>
  <c r="AL18" i="5"/>
  <c r="AQ18" i="5"/>
  <c r="AL26" i="5"/>
  <c r="AL25" i="5"/>
  <c r="AQ25" i="5"/>
  <c r="AU135" i="5"/>
  <c r="AO135" i="5" s="1"/>
  <c r="CJ135" i="5" s="1"/>
  <c r="AT118" i="5"/>
  <c r="AN118" i="5" s="1"/>
  <c r="CI118" i="5" s="1"/>
  <c r="AU127" i="5"/>
  <c r="AO127" i="5" s="1"/>
  <c r="CJ127" i="5" s="1"/>
  <c r="AU125" i="5"/>
  <c r="AO125" i="5" s="1"/>
  <c r="CJ125" i="5" s="1"/>
  <c r="AT116" i="5"/>
  <c r="AN116" i="5" s="1"/>
  <c r="CI116" i="5" s="1"/>
  <c r="AS116" i="5"/>
  <c r="AM116" i="5" s="1"/>
  <c r="CH116" i="5" s="1"/>
  <c r="AU130" i="5"/>
  <c r="AO130" i="5" s="1"/>
  <c r="CJ130" i="5" s="1"/>
  <c r="AU122" i="5"/>
  <c r="AO122" i="5" s="1"/>
  <c r="CJ122" i="5" s="1"/>
  <c r="AT109" i="5"/>
  <c r="AN109" i="5" s="1"/>
  <c r="CI109" i="5" s="1"/>
  <c r="AS100" i="5"/>
  <c r="AM100" i="5" s="1"/>
  <c r="CH100" i="5" s="1"/>
  <c r="AT115" i="5"/>
  <c r="AN115" i="5" s="1"/>
  <c r="CI115" i="5" s="1"/>
  <c r="AT107" i="5"/>
  <c r="AN107" i="5" s="1"/>
  <c r="CI107" i="5" s="1"/>
  <c r="AT110" i="5"/>
  <c r="AN110" i="5" s="1"/>
  <c r="CI110" i="5" s="1"/>
  <c r="AR100" i="5"/>
  <c r="AS97" i="5"/>
  <c r="AM97" i="5" s="1"/>
  <c r="CH97" i="5" s="1"/>
  <c r="AU85" i="5"/>
  <c r="AO85" i="5" s="1"/>
  <c r="CJ85" i="5" s="1"/>
  <c r="AV140" i="5"/>
  <c r="AP140" i="5" s="1"/>
  <c r="CK140" i="5" s="1"/>
  <c r="AS110" i="5"/>
  <c r="AM110" i="5" s="1"/>
  <c r="CH110" i="5" s="1"/>
  <c r="AT113" i="5"/>
  <c r="AN113" i="5" s="1"/>
  <c r="CI113" i="5" s="1"/>
  <c r="AU90" i="5"/>
  <c r="AO90" i="5" s="1"/>
  <c r="CJ90" i="5" s="1"/>
  <c r="AS94" i="5"/>
  <c r="AM94" i="5" s="1"/>
  <c r="CH94" i="5" s="1"/>
  <c r="AU82" i="5"/>
  <c r="AO82" i="5" s="1"/>
  <c r="CJ82" i="5" s="1"/>
  <c r="AU80" i="5"/>
  <c r="AO80" i="5" s="1"/>
  <c r="CJ80" i="5" s="1"/>
  <c r="AS99" i="5"/>
  <c r="AM99" i="5" s="1"/>
  <c r="CH99" i="5" s="1"/>
  <c r="AT71" i="5"/>
  <c r="AN71" i="5" s="1"/>
  <c r="CI71" i="5" s="1"/>
  <c r="AS71" i="5"/>
  <c r="AM71" i="5" s="1"/>
  <c r="CH71" i="5" s="1"/>
  <c r="AT104" i="5"/>
  <c r="AN104" i="5" s="1"/>
  <c r="CI104" i="5" s="1"/>
  <c r="AT64" i="5"/>
  <c r="AN64" i="5" s="1"/>
  <c r="CI64" i="5" s="1"/>
  <c r="AT70" i="5"/>
  <c r="AN70" i="5" s="1"/>
  <c r="CI70" i="5" s="1"/>
  <c r="AT62" i="5"/>
  <c r="AN62" i="5" s="1"/>
  <c r="CI62" i="5" s="1"/>
  <c r="AT73" i="5"/>
  <c r="AN73" i="5" s="1"/>
  <c r="CI73" i="5" s="1"/>
  <c r="AT65" i="5"/>
  <c r="AN65" i="5" s="1"/>
  <c r="CI65" i="5" s="1"/>
  <c r="AS55" i="5"/>
  <c r="AM55" i="5" s="1"/>
  <c r="CH55" i="5" s="1"/>
  <c r="AR55" i="5"/>
  <c r="AS65" i="5"/>
  <c r="AM65" i="5" s="1"/>
  <c r="CH65" i="5" s="1"/>
  <c r="AT59" i="5"/>
  <c r="AN59" i="5" s="1"/>
  <c r="CI59" i="5" s="1"/>
  <c r="AS52" i="5"/>
  <c r="AM52" i="5" s="1"/>
  <c r="CH52" i="5" s="1"/>
  <c r="AT39" i="5"/>
  <c r="AN39" i="5" s="1"/>
  <c r="CI39" i="5" s="1"/>
  <c r="AS54" i="5"/>
  <c r="AM54" i="5" s="1"/>
  <c r="CH54" i="5" s="1"/>
  <c r="AT68" i="5"/>
  <c r="AN68" i="5" s="1"/>
  <c r="CI68" i="5" s="1"/>
  <c r="AS49" i="5"/>
  <c r="AM49" i="5" s="1"/>
  <c r="CH49" i="5" s="1"/>
  <c r="AT31" i="5"/>
  <c r="AN31" i="5" s="1"/>
  <c r="CI31" i="5" s="1"/>
  <c r="AS23" i="5"/>
  <c r="AM23" i="5" s="1"/>
  <c r="CH23" i="5" s="1"/>
  <c r="AU77" i="5"/>
  <c r="AO77" i="5" s="1"/>
  <c r="CJ77" i="5" s="1"/>
  <c r="AS26" i="5"/>
  <c r="AM26" i="5" s="1"/>
  <c r="CH26" i="5" s="1"/>
  <c r="AT34" i="5"/>
  <c r="AN34" i="5" s="1"/>
  <c r="CI34" i="5" s="1"/>
  <c r="AQ12" i="5"/>
  <c r="AL12" i="5"/>
  <c r="AL6" i="5"/>
  <c r="AQ6" i="5"/>
  <c r="AL46" i="5"/>
  <c r="AQ46" i="5"/>
  <c r="AL52" i="5"/>
  <c r="AL71" i="5"/>
  <c r="AQ96" i="5"/>
  <c r="AL96" i="5"/>
  <c r="AL11" i="5"/>
  <c r="AQ11" i="5"/>
  <c r="AQ24" i="5"/>
  <c r="AL24" i="5"/>
  <c r="AQ53" i="5"/>
  <c r="AL53" i="5"/>
  <c r="AQ36" i="5"/>
  <c r="AL36" i="5"/>
  <c r="AL51" i="5"/>
  <c r="AQ51" i="5"/>
  <c r="AL70" i="5"/>
  <c r="AL115" i="5"/>
  <c r="AL89" i="5"/>
  <c r="AQ89" i="5"/>
  <c r="AQ111" i="5"/>
  <c r="AL111" i="5"/>
  <c r="AL134" i="5"/>
  <c r="AQ27" i="5"/>
  <c r="AL27" i="5"/>
  <c r="AQ117" i="5"/>
  <c r="AL117" i="5"/>
  <c r="AQ50" i="5"/>
  <c r="AL50" i="5"/>
  <c r="AL54" i="5"/>
  <c r="AQ12" i="4"/>
  <c r="AQ53" i="4"/>
  <c r="AL95" i="5"/>
  <c r="AQ95" i="5"/>
  <c r="AL68" i="5"/>
  <c r="AL91" i="5"/>
  <c r="AQ91" i="5"/>
  <c r="AQ136" i="5"/>
  <c r="AL136" i="5"/>
  <c r="AL72" i="5"/>
  <c r="AQ72" i="5"/>
  <c r="AL98" i="5"/>
  <c r="AQ98" i="5"/>
  <c r="AL99" i="5"/>
  <c r="AL118" i="5"/>
  <c r="AQ69" i="4"/>
  <c r="AQ96" i="4"/>
  <c r="AQ91" i="4"/>
  <c r="AQ88" i="4"/>
  <c r="AQ11" i="4"/>
  <c r="AQ37" i="4"/>
  <c r="AQ98" i="4"/>
  <c r="AQ13" i="4"/>
  <c r="AQ67" i="4"/>
  <c r="AQ24" i="4"/>
  <c r="AQ38" i="4"/>
  <c r="AQ66" i="4"/>
  <c r="AQ111" i="4"/>
  <c r="AQ72" i="4"/>
  <c r="AV140" i="4"/>
  <c r="AU85" i="4"/>
  <c r="AU77" i="4"/>
  <c r="AT70" i="4"/>
  <c r="AQ70" i="4" s="1"/>
  <c r="AT68" i="4"/>
  <c r="AQ68" i="4" s="1"/>
  <c r="AT64" i="4"/>
  <c r="AT62" i="4"/>
  <c r="AU80" i="4"/>
  <c r="AT118" i="4"/>
  <c r="AQ118" i="4" s="1"/>
  <c r="AT116" i="4"/>
  <c r="AT110" i="4"/>
  <c r="AT104" i="4"/>
  <c r="AS100" i="4"/>
  <c r="AS26" i="4"/>
  <c r="AQ26" i="4" s="1"/>
  <c r="AS116" i="4"/>
  <c r="AS110" i="4"/>
  <c r="AR100" i="4"/>
  <c r="AS97" i="4"/>
  <c r="AQ97" i="4" s="1"/>
  <c r="AT34" i="4"/>
  <c r="AS23" i="4"/>
  <c r="AS94" i="4"/>
  <c r="AT73" i="4"/>
  <c r="AQ73" i="4" s="1"/>
  <c r="AT71" i="4"/>
  <c r="AT65" i="4"/>
  <c r="AT59" i="4"/>
  <c r="AS55" i="4"/>
  <c r="AU135" i="4"/>
  <c r="AQ135" i="4" s="1"/>
  <c r="AU127" i="4"/>
  <c r="AS99" i="4"/>
  <c r="AQ99" i="4" s="1"/>
  <c r="AS71" i="4"/>
  <c r="AS65" i="4"/>
  <c r="AR55" i="4"/>
  <c r="AS52" i="4"/>
  <c r="AQ52" i="4" s="1"/>
  <c r="AU130" i="4"/>
  <c r="AU122" i="4"/>
  <c r="AT115" i="4"/>
  <c r="AQ115" i="4" s="1"/>
  <c r="AT113" i="4"/>
  <c r="AQ113" i="4" s="1"/>
  <c r="AT109" i="4"/>
  <c r="AT107" i="4"/>
  <c r="AS49" i="4"/>
  <c r="AU125" i="4"/>
  <c r="AU90" i="4"/>
  <c r="AQ90" i="4" s="1"/>
  <c r="AU82" i="4"/>
  <c r="AS54" i="4"/>
  <c r="AQ54" i="4" s="1"/>
  <c r="AT39" i="4"/>
  <c r="AQ39" i="4" s="1"/>
  <c r="AT31" i="4"/>
  <c r="AQ6" i="4"/>
  <c r="AQ51" i="4"/>
  <c r="AQ25" i="4"/>
  <c r="AQ134" i="4"/>
  <c r="AQ148" i="4"/>
  <c r="AQ27" i="4"/>
  <c r="AQ112" i="4"/>
  <c r="AQ136" i="4"/>
  <c r="AQ50" i="4"/>
  <c r="AQ114" i="4"/>
  <c r="AQ18" i="4"/>
  <c r="AR146" i="4"/>
  <c r="AQ146" i="4" s="1"/>
  <c r="AT143" i="4"/>
  <c r="AR142" i="4"/>
  <c r="AT139" i="4"/>
  <c r="AR138" i="4"/>
  <c r="AR127" i="4"/>
  <c r="AS122" i="4"/>
  <c r="AR119" i="4"/>
  <c r="AR109" i="4"/>
  <c r="AR107" i="4"/>
  <c r="AR105" i="4"/>
  <c r="AQ105" i="4" s="1"/>
  <c r="AR103" i="4"/>
  <c r="AR101" i="4"/>
  <c r="AR93" i="4"/>
  <c r="AQ93" i="4" s="1"/>
  <c r="AR84" i="4"/>
  <c r="AQ84" i="4" s="1"/>
  <c r="AS79" i="4"/>
  <c r="AR76" i="4"/>
  <c r="AT74" i="4"/>
  <c r="AT56" i="4"/>
  <c r="AS44" i="4"/>
  <c r="AR41" i="4"/>
  <c r="AS31" i="4"/>
  <c r="AS29" i="4"/>
  <c r="AS14" i="4"/>
  <c r="AS143" i="4"/>
  <c r="AU140" i="4"/>
  <c r="AS139" i="4"/>
  <c r="AR130" i="4"/>
  <c r="AS125" i="4"/>
  <c r="AR122" i="4"/>
  <c r="AT120" i="4"/>
  <c r="AR87" i="4"/>
  <c r="AQ87" i="4" s="1"/>
  <c r="AS82" i="4"/>
  <c r="AR79" i="4"/>
  <c r="AT77" i="4"/>
  <c r="AS74" i="4"/>
  <c r="AS58" i="4"/>
  <c r="AS56" i="4"/>
  <c r="AR44" i="4"/>
  <c r="AT42" i="4"/>
  <c r="AR35" i="4"/>
  <c r="AQ35" i="4" s="1"/>
  <c r="AR33" i="4"/>
  <c r="AQ33" i="4" s="1"/>
  <c r="AR31" i="4"/>
  <c r="AR29" i="4"/>
  <c r="AR16" i="4"/>
  <c r="AR14" i="4"/>
  <c r="AR5" i="4"/>
  <c r="AQ5" i="4" s="1"/>
  <c r="AR147" i="4"/>
  <c r="AQ147" i="4" s="1"/>
  <c r="AR143" i="4"/>
  <c r="AT140" i="4"/>
  <c r="AR139" i="4"/>
  <c r="AV137" i="4"/>
  <c r="AR125" i="4"/>
  <c r="AS120" i="4"/>
  <c r="AR82" i="4"/>
  <c r="AS77" i="4"/>
  <c r="AR74" i="4"/>
  <c r="AR64" i="4"/>
  <c r="AR62" i="4"/>
  <c r="AR60" i="4"/>
  <c r="AQ60" i="4" s="1"/>
  <c r="AR58" i="4"/>
  <c r="AR56" i="4"/>
  <c r="AR48" i="4"/>
  <c r="AQ48" i="4" s="1"/>
  <c r="AS42" i="4"/>
  <c r="AU40" i="4"/>
  <c r="AR21" i="4"/>
  <c r="AQ21" i="4" s="1"/>
  <c r="AS8" i="4"/>
  <c r="AS20" i="4"/>
  <c r="AS144" i="4"/>
  <c r="AS140" i="4"/>
  <c r="AU137" i="4"/>
  <c r="AR128" i="4"/>
  <c r="AQ128" i="4" s="1"/>
  <c r="AS123" i="4"/>
  <c r="AR120" i="4"/>
  <c r="AS104" i="4"/>
  <c r="AS102" i="4"/>
  <c r="AR85" i="4"/>
  <c r="AS80" i="4"/>
  <c r="AR77" i="4"/>
  <c r="AT75" i="4"/>
  <c r="AR42" i="4"/>
  <c r="AT40" i="4"/>
  <c r="AT28" i="4"/>
  <c r="AR8" i="4"/>
  <c r="AS4" i="4"/>
  <c r="AS15" i="4"/>
  <c r="AR144" i="4"/>
  <c r="AT141" i="4"/>
  <c r="AR140" i="4"/>
  <c r="AT137" i="4"/>
  <c r="AR131" i="4"/>
  <c r="AQ131" i="4" s="1"/>
  <c r="AS126" i="4"/>
  <c r="AR123" i="4"/>
  <c r="AT121" i="4"/>
  <c r="AR110" i="4"/>
  <c r="AR108" i="4"/>
  <c r="AQ108" i="4" s="1"/>
  <c r="AR106" i="4"/>
  <c r="AQ106" i="4" s="1"/>
  <c r="AR104" i="4"/>
  <c r="AR102" i="4"/>
  <c r="AR80" i="4"/>
  <c r="AS75" i="4"/>
  <c r="AR45" i="4"/>
  <c r="AQ45" i="4" s="1"/>
  <c r="AS40" i="4"/>
  <c r="AS30" i="4"/>
  <c r="AS28" i="4"/>
  <c r="AR23" i="4"/>
  <c r="AS145" i="4"/>
  <c r="AS141" i="4"/>
  <c r="AU138" i="4"/>
  <c r="AS137" i="4"/>
  <c r="AR126" i="4"/>
  <c r="AS121" i="4"/>
  <c r="AU119" i="4"/>
  <c r="AR94" i="4"/>
  <c r="AR83" i="4"/>
  <c r="AQ83" i="4" s="1"/>
  <c r="AS78" i="4"/>
  <c r="AR75" i="4"/>
  <c r="AS59" i="4"/>
  <c r="AS57" i="4"/>
  <c r="AS43" i="4"/>
  <c r="AR40" i="4"/>
  <c r="AR34" i="4"/>
  <c r="AR32" i="4"/>
  <c r="AQ32" i="4" s="1"/>
  <c r="AR30" i="4"/>
  <c r="AR28" i="4"/>
  <c r="AR20" i="4"/>
  <c r="AR17" i="4"/>
  <c r="AQ17" i="4" s="1"/>
  <c r="AR15" i="4"/>
  <c r="AR10" i="4"/>
  <c r="AQ10" i="4" s="1"/>
  <c r="AS16" i="4"/>
  <c r="AR145" i="4"/>
  <c r="AT142" i="4"/>
  <c r="AR141" i="4"/>
  <c r="AT138" i="4"/>
  <c r="AR137" i="4"/>
  <c r="AR129" i="4"/>
  <c r="AQ129" i="4" s="1"/>
  <c r="AS124" i="4"/>
  <c r="AR121" i="4"/>
  <c r="AT119" i="4"/>
  <c r="AT101" i="4"/>
  <c r="AR86" i="4"/>
  <c r="AQ86" i="4" s="1"/>
  <c r="AS81" i="4"/>
  <c r="AR78" i="4"/>
  <c r="AT76" i="4"/>
  <c r="AR65" i="4"/>
  <c r="AR63" i="4"/>
  <c r="AQ63" i="4" s="1"/>
  <c r="AR61" i="4"/>
  <c r="AQ61" i="4" s="1"/>
  <c r="AR59" i="4"/>
  <c r="AR57" i="4"/>
  <c r="AR43" i="4"/>
  <c r="AT41" i="4"/>
  <c r="AR4" i="4"/>
  <c r="AS142" i="4"/>
  <c r="AU139" i="4"/>
  <c r="AS138" i="4"/>
  <c r="AR132" i="4"/>
  <c r="AQ132" i="4" s="1"/>
  <c r="AS127" i="4"/>
  <c r="AR124" i="4"/>
  <c r="AT122" i="4"/>
  <c r="AS119" i="4"/>
  <c r="AS103" i="4"/>
  <c r="AS101" i="4"/>
  <c r="AR81" i="4"/>
  <c r="AS76" i="4"/>
  <c r="AU74" i="4"/>
  <c r="AR49" i="4"/>
  <c r="AS41" i="4"/>
  <c r="AR22" i="4"/>
  <c r="AQ22" i="4" s="1"/>
  <c r="AT14" i="4"/>
  <c r="AR9" i="4"/>
  <c r="AQ9" i="4" s="1"/>
  <c r="AQ117" i="4"/>
  <c r="AQ89" i="4"/>
  <c r="AQ133" i="4"/>
  <c r="AV140" i="3"/>
  <c r="AU135" i="3"/>
  <c r="AQ135" i="3" s="1"/>
  <c r="AU127" i="3"/>
  <c r="AU125" i="3"/>
  <c r="AS97" i="3"/>
  <c r="AQ97" i="3" s="1"/>
  <c r="AT71" i="3"/>
  <c r="AS55" i="3"/>
  <c r="AS23" i="3"/>
  <c r="AT104" i="3"/>
  <c r="AS71" i="3"/>
  <c r="AT68" i="3"/>
  <c r="AQ68" i="3" s="1"/>
  <c r="AR55" i="3"/>
  <c r="AU82" i="3"/>
  <c r="AT116" i="3"/>
  <c r="AS100" i="3"/>
  <c r="AU85" i="3"/>
  <c r="AU77" i="3"/>
  <c r="AT73" i="3"/>
  <c r="AQ73" i="3" s="1"/>
  <c r="AT65" i="3"/>
  <c r="AS54" i="3"/>
  <c r="AQ54" i="3" s="1"/>
  <c r="AS26" i="3"/>
  <c r="AQ26" i="3" s="1"/>
  <c r="AS116" i="3"/>
  <c r="AT113" i="3"/>
  <c r="AQ113" i="3" s="1"/>
  <c r="AR100" i="3"/>
  <c r="AT70" i="3"/>
  <c r="AS65" i="3"/>
  <c r="AT62" i="3"/>
  <c r="AT34" i="3"/>
  <c r="AT109" i="3"/>
  <c r="AU130" i="3"/>
  <c r="AU122" i="3"/>
  <c r="AT118" i="3"/>
  <c r="AQ118" i="3" s="1"/>
  <c r="AT110" i="3"/>
  <c r="AS99" i="3"/>
  <c r="AQ99" i="3" s="1"/>
  <c r="AT59" i="3"/>
  <c r="AS49" i="3"/>
  <c r="AT39" i="3"/>
  <c r="AQ39" i="3" s="1"/>
  <c r="AT31" i="3"/>
  <c r="AU90" i="3"/>
  <c r="AQ90" i="3" s="1"/>
  <c r="AT115" i="3"/>
  <c r="AQ115" i="3" s="1"/>
  <c r="AS110" i="3"/>
  <c r="AT107" i="3"/>
  <c r="AT64" i="3"/>
  <c r="AS94" i="3"/>
  <c r="AU80" i="3"/>
  <c r="AS52" i="3"/>
  <c r="AQ52" i="3" s="1"/>
  <c r="AR144" i="3"/>
  <c r="AT142" i="3"/>
  <c r="AS139" i="3"/>
  <c r="AU137" i="3"/>
  <c r="AU119" i="3"/>
  <c r="AR104" i="3"/>
  <c r="AS101" i="3"/>
  <c r="AS82" i="3"/>
  <c r="AS80" i="3"/>
  <c r="AS78" i="3"/>
  <c r="AS76" i="3"/>
  <c r="AS74" i="3"/>
  <c r="AR61" i="3"/>
  <c r="AQ61" i="3" s="1"/>
  <c r="AS58" i="3"/>
  <c r="AU40" i="3"/>
  <c r="AR33" i="3"/>
  <c r="AQ33" i="3" s="1"/>
  <c r="AS30" i="3"/>
  <c r="AR16" i="3"/>
  <c r="AR9" i="3"/>
  <c r="AQ9" i="3" s="1"/>
  <c r="AR4" i="3"/>
  <c r="AS141" i="3"/>
  <c r="AS120" i="3"/>
  <c r="AU74" i="3"/>
  <c r="AR59" i="3"/>
  <c r="AS41" i="3"/>
  <c r="AS20" i="3"/>
  <c r="AT139" i="3"/>
  <c r="AR128" i="3"/>
  <c r="AQ128" i="3" s="1"/>
  <c r="AR120" i="3"/>
  <c r="AR56" i="3"/>
  <c r="AR147" i="3"/>
  <c r="AQ147" i="3" s="1"/>
  <c r="AS142" i="3"/>
  <c r="AU140" i="3"/>
  <c r="AR139" i="3"/>
  <c r="AT137" i="3"/>
  <c r="AT121" i="3"/>
  <c r="AT119" i="3"/>
  <c r="AR109" i="3"/>
  <c r="AR101" i="3"/>
  <c r="AR93" i="3"/>
  <c r="AQ93" i="3" s="1"/>
  <c r="AR86" i="3"/>
  <c r="AQ86" i="3" s="1"/>
  <c r="AR84" i="3"/>
  <c r="AQ84" i="3" s="1"/>
  <c r="AR82" i="3"/>
  <c r="AR80" i="3"/>
  <c r="AR78" i="3"/>
  <c r="AR76" i="3"/>
  <c r="AR74" i="3"/>
  <c r="AR58" i="3"/>
  <c r="AT42" i="3"/>
  <c r="AT40" i="3"/>
  <c r="AR30" i="3"/>
  <c r="AR23" i="3"/>
  <c r="AS8" i="3"/>
  <c r="AU139" i="3"/>
  <c r="AS126" i="3"/>
  <c r="AS56" i="3"/>
  <c r="AR14" i="3"/>
  <c r="AR126" i="3"/>
  <c r="AS104" i="3"/>
  <c r="AT76" i="3"/>
  <c r="AR45" i="3"/>
  <c r="AQ45" i="3" s="1"/>
  <c r="AS145" i="3"/>
  <c r="AR142" i="3"/>
  <c r="AT140" i="3"/>
  <c r="AS137" i="3"/>
  <c r="AS127" i="3"/>
  <c r="AS125" i="3"/>
  <c r="AS123" i="3"/>
  <c r="AS121" i="3"/>
  <c r="AS119" i="3"/>
  <c r="AR106" i="3"/>
  <c r="AQ106" i="3" s="1"/>
  <c r="AS103" i="3"/>
  <c r="AR63" i="3"/>
  <c r="AQ63" i="3" s="1"/>
  <c r="AS44" i="3"/>
  <c r="AS42" i="3"/>
  <c r="AS40" i="3"/>
  <c r="AR35" i="3"/>
  <c r="AQ35" i="3" s="1"/>
  <c r="AS15" i="3"/>
  <c r="AR8" i="3"/>
  <c r="AR102" i="3"/>
  <c r="AS28" i="3"/>
  <c r="AR5" i="3"/>
  <c r="AQ5" i="3" s="1"/>
  <c r="AR94" i="3"/>
  <c r="AR48" i="3"/>
  <c r="AQ48" i="3" s="1"/>
  <c r="AS16" i="3"/>
  <c r="AR145" i="3"/>
  <c r="AT143" i="3"/>
  <c r="AS140" i="3"/>
  <c r="AU138" i="3"/>
  <c r="AR137" i="3"/>
  <c r="AR131" i="3"/>
  <c r="AQ131" i="3" s="1"/>
  <c r="AR129" i="3"/>
  <c r="AQ129" i="3" s="1"/>
  <c r="AR127" i="3"/>
  <c r="AR125" i="3"/>
  <c r="AR123" i="3"/>
  <c r="AR121" i="3"/>
  <c r="AR119" i="3"/>
  <c r="AR103" i="3"/>
  <c r="AT77" i="3"/>
  <c r="AT75" i="3"/>
  <c r="AR60" i="3"/>
  <c r="AQ60" i="3" s="1"/>
  <c r="AS57" i="3"/>
  <c r="AR44" i="3"/>
  <c r="AR42" i="3"/>
  <c r="AR40" i="3"/>
  <c r="AR32" i="3"/>
  <c r="AQ32" i="3" s="1"/>
  <c r="AS29" i="3"/>
  <c r="AR22" i="3"/>
  <c r="AQ22" i="3" s="1"/>
  <c r="AR15" i="3"/>
  <c r="AR110" i="3"/>
  <c r="AR31" i="3"/>
  <c r="AR10" i="3"/>
  <c r="AQ10" i="3" s="1"/>
  <c r="AR132" i="3"/>
  <c r="AQ132" i="3" s="1"/>
  <c r="AR124" i="3"/>
  <c r="AT74" i="3"/>
  <c r="AS143" i="3"/>
  <c r="AR140" i="3"/>
  <c r="AT138" i="3"/>
  <c r="AR108" i="3"/>
  <c r="AQ108" i="3" s="1"/>
  <c r="AS81" i="3"/>
  <c r="AS79" i="3"/>
  <c r="AS77" i="3"/>
  <c r="AS75" i="3"/>
  <c r="AR65" i="3"/>
  <c r="AR57" i="3"/>
  <c r="AR29" i="3"/>
  <c r="AT14" i="3"/>
  <c r="AR146" i="3"/>
  <c r="AQ146" i="3" s="1"/>
  <c r="AS122" i="3"/>
  <c r="AS43" i="3"/>
  <c r="AS144" i="3"/>
  <c r="AV137" i="3"/>
  <c r="AR130" i="3"/>
  <c r="AT101" i="3"/>
  <c r="AR41" i="3"/>
  <c r="AR20" i="3"/>
  <c r="AR143" i="3"/>
  <c r="AT141" i="3"/>
  <c r="AS138" i="3"/>
  <c r="AT122" i="3"/>
  <c r="AT120" i="3"/>
  <c r="AR105" i="3"/>
  <c r="AQ105" i="3" s="1"/>
  <c r="AS102" i="3"/>
  <c r="AR87" i="3"/>
  <c r="AQ87" i="3" s="1"/>
  <c r="AR85" i="3"/>
  <c r="AR83" i="3"/>
  <c r="AQ83" i="3" s="1"/>
  <c r="AR81" i="3"/>
  <c r="AR79" i="3"/>
  <c r="AR77" i="3"/>
  <c r="AR75" i="3"/>
  <c r="AR62" i="3"/>
  <c r="AS59" i="3"/>
  <c r="AT56" i="3"/>
  <c r="AR49" i="3"/>
  <c r="AT41" i="3"/>
  <c r="AR34" i="3"/>
  <c r="AS31" i="3"/>
  <c r="AT28" i="3"/>
  <c r="AR21" i="3"/>
  <c r="AQ21" i="3" s="1"/>
  <c r="AR17" i="3"/>
  <c r="AQ17" i="3" s="1"/>
  <c r="AS14" i="3"/>
  <c r="AR138" i="3"/>
  <c r="AS124" i="3"/>
  <c r="AR141" i="3"/>
  <c r="AR122" i="3"/>
  <c r="AR107" i="3"/>
  <c r="AR64" i="3"/>
  <c r="AR43" i="3"/>
  <c r="AR28" i="3"/>
  <c r="AS4" i="3"/>
  <c r="AQ70" i="3"/>
  <c r="AQ148" i="3"/>
  <c r="AQ136" i="3"/>
  <c r="AQ134" i="3"/>
  <c r="AQ133" i="3"/>
  <c r="AQ117" i="3"/>
  <c r="AQ114" i="3"/>
  <c r="AQ112" i="3"/>
  <c r="AQ111" i="3"/>
  <c r="AQ98" i="3"/>
  <c r="AQ96" i="3"/>
  <c r="AQ95" i="3"/>
  <c r="AQ91" i="3"/>
  <c r="AQ89" i="3"/>
  <c r="AQ88" i="3"/>
  <c r="AQ72" i="3"/>
  <c r="AQ69" i="3"/>
  <c r="AQ67" i="3"/>
  <c r="AQ66" i="3"/>
  <c r="AQ53" i="3"/>
  <c r="AQ51" i="3"/>
  <c r="AQ50" i="3"/>
  <c r="AQ46" i="3"/>
  <c r="AQ38" i="3"/>
  <c r="AQ37" i="3"/>
  <c r="AQ36" i="3"/>
  <c r="AQ27" i="3"/>
  <c r="AQ25" i="3"/>
  <c r="AQ24" i="3"/>
  <c r="AQ18" i="3"/>
  <c r="AQ13" i="3"/>
  <c r="AQ12" i="3"/>
  <c r="AQ11" i="3"/>
  <c r="AQ6" i="3"/>
  <c r="AQ148" i="5" l="1"/>
  <c r="AQ134" i="5"/>
  <c r="AQ52" i="5"/>
  <c r="AQ58" i="4"/>
  <c r="AQ145" i="4"/>
  <c r="AQ23" i="4"/>
  <c r="AQ49" i="4"/>
  <c r="AQ54" i="5"/>
  <c r="AQ70" i="5"/>
  <c r="AQ68" i="5"/>
  <c r="AQ57" i="4"/>
  <c r="AQ97" i="5"/>
  <c r="AQ116" i="5"/>
  <c r="AQ115" i="5"/>
  <c r="AQ125" i="4"/>
  <c r="AK113" i="5"/>
  <c r="CG113" i="5"/>
  <c r="CF113" i="5" s="1"/>
  <c r="CG98" i="5"/>
  <c r="CF98" i="5" s="1"/>
  <c r="AK98" i="5"/>
  <c r="AK51" i="5"/>
  <c r="CG51" i="5"/>
  <c r="CF51" i="5" s="1"/>
  <c r="AK11" i="5"/>
  <c r="CG11" i="5"/>
  <c r="CF11" i="5" s="1"/>
  <c r="CG46" i="5"/>
  <c r="CF46" i="5" s="1"/>
  <c r="AK46" i="5"/>
  <c r="CG18" i="5"/>
  <c r="CF18" i="5" s="1"/>
  <c r="AK18" i="5"/>
  <c r="CG37" i="5"/>
  <c r="CF37" i="5" s="1"/>
  <c r="AK37" i="5"/>
  <c r="CG116" i="5"/>
  <c r="CF116" i="5" s="1"/>
  <c r="AK116" i="5"/>
  <c r="AQ113" i="5"/>
  <c r="AL29" i="5"/>
  <c r="AQ29" i="5"/>
  <c r="AQ33" i="5"/>
  <c r="AL33" i="5"/>
  <c r="AQ8" i="5"/>
  <c r="AL8" i="5"/>
  <c r="AQ45" i="5"/>
  <c r="AL45" i="5"/>
  <c r="AL59" i="5"/>
  <c r="AQ59" i="5"/>
  <c r="AQ77" i="5"/>
  <c r="AL77" i="5"/>
  <c r="AQ110" i="5"/>
  <c r="AL110" i="5"/>
  <c r="AL101" i="5"/>
  <c r="AQ101" i="5"/>
  <c r="AL131" i="5"/>
  <c r="AQ131" i="5"/>
  <c r="AQ130" i="5"/>
  <c r="AL130" i="5"/>
  <c r="AL142" i="5"/>
  <c r="AQ142" i="5"/>
  <c r="CG97" i="5"/>
  <c r="CF97" i="5" s="1"/>
  <c r="AK97" i="5"/>
  <c r="CG111" i="5"/>
  <c r="CF111" i="5" s="1"/>
  <c r="AK111" i="5"/>
  <c r="AQ21" i="5"/>
  <c r="AL21" i="5"/>
  <c r="AL34" i="5"/>
  <c r="AQ34" i="5"/>
  <c r="AQ75" i="5"/>
  <c r="AL75" i="5"/>
  <c r="CG96" i="5"/>
  <c r="CF96" i="5" s="1"/>
  <c r="AK96" i="5"/>
  <c r="AK114" i="5"/>
  <c r="CG114" i="5"/>
  <c r="CF114" i="5" s="1"/>
  <c r="AQ60" i="5"/>
  <c r="AL60" i="5"/>
  <c r="AQ63" i="5"/>
  <c r="AL63" i="5"/>
  <c r="AQ79" i="5"/>
  <c r="AL79" i="5"/>
  <c r="AQ146" i="5"/>
  <c r="AL146" i="5"/>
  <c r="CG88" i="5"/>
  <c r="CF88" i="5" s="1"/>
  <c r="AK88" i="5"/>
  <c r="CG72" i="5"/>
  <c r="CF72" i="5" s="1"/>
  <c r="AK72" i="5"/>
  <c r="AK95" i="5"/>
  <c r="CG95" i="5"/>
  <c r="CF95" i="5" s="1"/>
  <c r="CG89" i="5"/>
  <c r="CF89" i="5" s="1"/>
  <c r="AK89" i="5"/>
  <c r="AK6" i="5"/>
  <c r="CG6" i="5"/>
  <c r="CF6" i="5" s="1"/>
  <c r="AQ73" i="5"/>
  <c r="AQ39" i="5"/>
  <c r="CG112" i="5"/>
  <c r="CF112" i="5" s="1"/>
  <c r="AK112" i="5"/>
  <c r="AQ10" i="5"/>
  <c r="AL10" i="5"/>
  <c r="AQ9" i="5"/>
  <c r="AL9" i="5"/>
  <c r="AL40" i="5"/>
  <c r="AQ40" i="5"/>
  <c r="AL64" i="5"/>
  <c r="AQ64" i="5"/>
  <c r="AL80" i="5"/>
  <c r="AQ80" i="5"/>
  <c r="AQ81" i="5"/>
  <c r="AL81" i="5"/>
  <c r="AQ109" i="5"/>
  <c r="AL109" i="5"/>
  <c r="AL119" i="5"/>
  <c r="AQ119" i="5"/>
  <c r="AL105" i="5"/>
  <c r="AQ105" i="5"/>
  <c r="AL129" i="5"/>
  <c r="AQ129" i="5"/>
  <c r="AQ55" i="5"/>
  <c r="AL55" i="5"/>
  <c r="AK39" i="5"/>
  <c r="CG39" i="5"/>
  <c r="CF39" i="5" s="1"/>
  <c r="AL78" i="5"/>
  <c r="AQ78" i="5"/>
  <c r="AQ144" i="5"/>
  <c r="AL144" i="5"/>
  <c r="CG27" i="5"/>
  <c r="CF27" i="5" s="1"/>
  <c r="AK27" i="5"/>
  <c r="CG13" i="5"/>
  <c r="CF13" i="5" s="1"/>
  <c r="AK13" i="5"/>
  <c r="AK38" i="5"/>
  <c r="CG38" i="5"/>
  <c r="CF38" i="5" s="1"/>
  <c r="AL32" i="5"/>
  <c r="AQ32" i="5"/>
  <c r="AL17" i="5"/>
  <c r="AQ17" i="5"/>
  <c r="AQ30" i="5"/>
  <c r="AL30" i="5"/>
  <c r="AL42" i="5"/>
  <c r="AQ42" i="5"/>
  <c r="AL61" i="5"/>
  <c r="AQ61" i="5"/>
  <c r="AL82" i="5"/>
  <c r="AQ82" i="5"/>
  <c r="AQ83" i="5"/>
  <c r="AL83" i="5"/>
  <c r="AL85" i="5"/>
  <c r="AQ85" i="5"/>
  <c r="AQ106" i="5"/>
  <c r="AL106" i="5"/>
  <c r="AL121" i="5"/>
  <c r="AQ121" i="5"/>
  <c r="AQ120" i="5"/>
  <c r="AL120" i="5"/>
  <c r="AL139" i="5"/>
  <c r="AQ139" i="5"/>
  <c r="CG68" i="5"/>
  <c r="CF68" i="5" s="1"/>
  <c r="AK68" i="5"/>
  <c r="AL140" i="5"/>
  <c r="AQ140" i="5"/>
  <c r="CG117" i="5"/>
  <c r="CF117" i="5" s="1"/>
  <c r="AK117" i="5"/>
  <c r="AQ5" i="5"/>
  <c r="AL5" i="5"/>
  <c r="AQ4" i="5"/>
  <c r="AL4" i="5"/>
  <c r="AL93" i="5"/>
  <c r="AQ93" i="5"/>
  <c r="AL137" i="5"/>
  <c r="AQ137" i="5"/>
  <c r="CG118" i="5"/>
  <c r="CF118" i="5" s="1"/>
  <c r="AK118" i="5"/>
  <c r="CG71" i="5"/>
  <c r="CF71" i="5" s="1"/>
  <c r="AK71" i="5"/>
  <c r="AK90" i="5"/>
  <c r="CG90" i="5"/>
  <c r="CF90" i="5" s="1"/>
  <c r="AQ118" i="5"/>
  <c r="CG115" i="5"/>
  <c r="CF115" i="5" s="1"/>
  <c r="AK115" i="5"/>
  <c r="AQ71" i="5"/>
  <c r="AK25" i="5"/>
  <c r="CG25" i="5"/>
  <c r="CF25" i="5" s="1"/>
  <c r="AQ90" i="5"/>
  <c r="CG133" i="5"/>
  <c r="CF133" i="5" s="1"/>
  <c r="AK133" i="5"/>
  <c r="AQ35" i="5"/>
  <c r="AL35" i="5"/>
  <c r="AL44" i="5"/>
  <c r="AQ44" i="5"/>
  <c r="AL58" i="5"/>
  <c r="AQ58" i="5"/>
  <c r="AL76" i="5"/>
  <c r="AQ76" i="5"/>
  <c r="AL84" i="5"/>
  <c r="AQ84" i="5"/>
  <c r="AQ86" i="5"/>
  <c r="AL86" i="5"/>
  <c r="AL87" i="5"/>
  <c r="AQ87" i="5"/>
  <c r="AL107" i="5"/>
  <c r="AQ107" i="5"/>
  <c r="AQ103" i="5"/>
  <c r="AL103" i="5"/>
  <c r="AL123" i="5"/>
  <c r="AQ123" i="5"/>
  <c r="AQ122" i="5"/>
  <c r="AL122" i="5"/>
  <c r="AL145" i="5"/>
  <c r="AQ145" i="5"/>
  <c r="AL143" i="5"/>
  <c r="AQ143" i="5"/>
  <c r="AK69" i="5"/>
  <c r="CG69" i="5"/>
  <c r="CF69" i="5" s="1"/>
  <c r="CG50" i="5"/>
  <c r="CF50" i="5" s="1"/>
  <c r="AK50" i="5"/>
  <c r="AL22" i="5"/>
  <c r="AQ22" i="5"/>
  <c r="AQ31" i="5"/>
  <c r="AL31" i="5"/>
  <c r="AQ23" i="5"/>
  <c r="AL23" i="5"/>
  <c r="AQ43" i="5"/>
  <c r="AL43" i="5"/>
  <c r="AQ128" i="5"/>
  <c r="AL128" i="5"/>
  <c r="CG73" i="5"/>
  <c r="CF73" i="5" s="1"/>
  <c r="AK73" i="5"/>
  <c r="AQ132" i="5"/>
  <c r="AL132" i="5"/>
  <c r="CG136" i="5"/>
  <c r="CF136" i="5" s="1"/>
  <c r="AK136" i="5"/>
  <c r="AK12" i="5"/>
  <c r="CG12" i="5"/>
  <c r="CF12" i="5" s="1"/>
  <c r="CG99" i="5"/>
  <c r="CF99" i="5" s="1"/>
  <c r="AK99" i="5"/>
  <c r="AK54" i="5"/>
  <c r="CG54" i="5"/>
  <c r="CF54" i="5" s="1"/>
  <c r="AK134" i="5"/>
  <c r="CG134" i="5"/>
  <c r="CF134" i="5" s="1"/>
  <c r="CG70" i="5"/>
  <c r="CF70" i="5" s="1"/>
  <c r="AK70" i="5"/>
  <c r="CG24" i="5"/>
  <c r="CF24" i="5" s="1"/>
  <c r="AK24" i="5"/>
  <c r="CG52" i="5"/>
  <c r="CF52" i="5" s="1"/>
  <c r="AK52" i="5"/>
  <c r="AQ100" i="5"/>
  <c r="AL100" i="5"/>
  <c r="AQ26" i="5"/>
  <c r="AK66" i="5"/>
  <c r="CG66" i="5"/>
  <c r="CF66" i="5" s="1"/>
  <c r="AQ135" i="5"/>
  <c r="AQ62" i="5"/>
  <c r="AL62" i="5"/>
  <c r="AL15" i="5"/>
  <c r="AQ15" i="5"/>
  <c r="AQ14" i="5"/>
  <c r="AL14" i="5"/>
  <c r="AQ28" i="5"/>
  <c r="AL28" i="5"/>
  <c r="AL49" i="5"/>
  <c r="AQ49" i="5"/>
  <c r="AQ48" i="5"/>
  <c r="AL48" i="5"/>
  <c r="AQ74" i="5"/>
  <c r="AL74" i="5"/>
  <c r="AQ57" i="5"/>
  <c r="AL57" i="5"/>
  <c r="AQ94" i="5"/>
  <c r="AL94" i="5"/>
  <c r="AL125" i="5"/>
  <c r="AQ125" i="5"/>
  <c r="AQ124" i="5"/>
  <c r="AL124" i="5"/>
  <c r="AQ141" i="5"/>
  <c r="AL141" i="5"/>
  <c r="CG36" i="5"/>
  <c r="CF36" i="5" s="1"/>
  <c r="AK36" i="5"/>
  <c r="CG53" i="5"/>
  <c r="CF53" i="5" s="1"/>
  <c r="AK53" i="5"/>
  <c r="AQ99" i="5"/>
  <c r="CG91" i="5"/>
  <c r="CF91" i="5" s="1"/>
  <c r="AK91" i="5"/>
  <c r="AK26" i="5"/>
  <c r="CG26" i="5"/>
  <c r="CF26" i="5" s="1"/>
  <c r="CG67" i="5"/>
  <c r="CF67" i="5" s="1"/>
  <c r="AK67" i="5"/>
  <c r="CG135" i="5"/>
  <c r="CF135" i="5" s="1"/>
  <c r="AK135" i="5"/>
  <c r="AQ20" i="5"/>
  <c r="AL20" i="5"/>
  <c r="AQ16" i="5"/>
  <c r="AL16" i="5"/>
  <c r="AQ41" i="5"/>
  <c r="AL41" i="5"/>
  <c r="AQ56" i="5"/>
  <c r="AL56" i="5"/>
  <c r="AQ65" i="5"/>
  <c r="AL65" i="5"/>
  <c r="AQ102" i="5"/>
  <c r="AL102" i="5"/>
  <c r="AL104" i="5"/>
  <c r="AQ104" i="5"/>
  <c r="AQ108" i="5"/>
  <c r="AL108" i="5"/>
  <c r="AL127" i="5"/>
  <c r="AQ127" i="5"/>
  <c r="AQ126" i="5"/>
  <c r="AL126" i="5"/>
  <c r="AL147" i="5"/>
  <c r="AQ147" i="5"/>
  <c r="AQ138" i="5"/>
  <c r="AL138" i="5"/>
  <c r="AK148" i="5"/>
  <c r="CG148" i="5"/>
  <c r="CF148" i="5" s="1"/>
  <c r="AQ75" i="4"/>
  <c r="AQ104" i="4"/>
  <c r="AQ78" i="4"/>
  <c r="AQ126" i="4"/>
  <c r="AQ141" i="4"/>
  <c r="AQ30" i="4"/>
  <c r="AQ71" i="4"/>
  <c r="AQ34" i="4"/>
  <c r="AQ79" i="4"/>
  <c r="AQ107" i="4"/>
  <c r="AQ116" i="4"/>
  <c r="AQ110" i="4"/>
  <c r="AQ82" i="4"/>
  <c r="AQ124" i="4"/>
  <c r="AQ43" i="4"/>
  <c r="AQ20" i="4"/>
  <c r="AQ56" i="4"/>
  <c r="AQ14" i="4"/>
  <c r="AQ122" i="4"/>
  <c r="AQ127" i="4"/>
  <c r="AQ28" i="4"/>
  <c r="AQ123" i="4"/>
  <c r="AQ16" i="4"/>
  <c r="AQ41" i="4"/>
  <c r="AQ101" i="4"/>
  <c r="AQ42" i="4"/>
  <c r="AQ77" i="4"/>
  <c r="AQ44" i="4"/>
  <c r="AQ85" i="4"/>
  <c r="AQ102" i="4"/>
  <c r="AQ65" i="4"/>
  <c r="AQ59" i="4"/>
  <c r="AQ80" i="4"/>
  <c r="AQ8" i="4"/>
  <c r="AQ29" i="4"/>
  <c r="AQ130" i="4"/>
  <c r="AQ103" i="4"/>
  <c r="AQ138" i="4"/>
  <c r="AQ81" i="4"/>
  <c r="AQ62" i="4"/>
  <c r="AQ139" i="4"/>
  <c r="AQ31" i="4"/>
  <c r="AQ142" i="4"/>
  <c r="AQ121" i="4"/>
  <c r="AQ94" i="4"/>
  <c r="AQ120" i="4"/>
  <c r="AQ64" i="4"/>
  <c r="AQ40" i="4"/>
  <c r="AQ140" i="4"/>
  <c r="AQ74" i="4"/>
  <c r="AQ143" i="4"/>
  <c r="AQ76" i="4"/>
  <c r="AQ109" i="4"/>
  <c r="AQ100" i="4"/>
  <c r="AQ4" i="4"/>
  <c r="AQ15" i="4"/>
  <c r="AQ119" i="4"/>
  <c r="AQ55" i="4"/>
  <c r="AQ137" i="4"/>
  <c r="AQ144" i="4"/>
  <c r="AQ15" i="3"/>
  <c r="AQ49" i="3"/>
  <c r="AQ144" i="3"/>
  <c r="AQ81" i="3"/>
  <c r="AQ8" i="3"/>
  <c r="AQ30" i="3"/>
  <c r="AQ34" i="3"/>
  <c r="AQ29" i="3"/>
  <c r="AQ44" i="3"/>
  <c r="AQ62" i="3"/>
  <c r="AQ23" i="3"/>
  <c r="AQ75" i="3"/>
  <c r="AQ145" i="3"/>
  <c r="AQ125" i="3"/>
  <c r="AQ120" i="3"/>
  <c r="AQ41" i="3"/>
  <c r="AQ28" i="3"/>
  <c r="AQ107" i="3"/>
  <c r="AQ78" i="3"/>
  <c r="AQ42" i="3"/>
  <c r="AQ126" i="3"/>
  <c r="AQ20" i="3"/>
  <c r="AQ43" i="3"/>
  <c r="AQ130" i="3"/>
  <c r="AQ4" i="3"/>
  <c r="AQ102" i="3"/>
  <c r="AQ14" i="3"/>
  <c r="AQ121" i="3"/>
  <c r="AQ58" i="3"/>
  <c r="AQ143" i="3"/>
  <c r="AQ16" i="3"/>
  <c r="AQ56" i="3"/>
  <c r="AQ123" i="3"/>
  <c r="AQ79" i="3"/>
  <c r="AQ57" i="3"/>
  <c r="AQ100" i="3"/>
  <c r="AQ82" i="3"/>
  <c r="AQ116" i="3"/>
  <c r="AQ110" i="3"/>
  <c r="AQ103" i="3"/>
  <c r="AQ85" i="3"/>
  <c r="AQ140" i="3"/>
  <c r="AQ119" i="3"/>
  <c r="AQ80" i="3"/>
  <c r="AQ55" i="3"/>
  <c r="AQ94" i="3"/>
  <c r="AQ137" i="3"/>
  <c r="AQ139" i="3"/>
  <c r="AQ76" i="3"/>
  <c r="AQ127" i="3"/>
  <c r="AQ101" i="3"/>
  <c r="AQ109" i="3"/>
  <c r="AQ124" i="3"/>
  <c r="AQ31" i="3"/>
  <c r="AQ71" i="3"/>
  <c r="AQ77" i="3"/>
  <c r="AQ59" i="3"/>
  <c r="AQ138" i="3"/>
  <c r="AQ64" i="3"/>
  <c r="AQ142" i="3"/>
  <c r="AQ40" i="3"/>
  <c r="AQ122" i="3"/>
  <c r="AQ104" i="3"/>
  <c r="AQ74" i="3"/>
  <c r="AQ141" i="3"/>
  <c r="AQ65" i="3"/>
  <c r="W43" i="3"/>
  <c r="W39" i="3"/>
  <c r="W35" i="3"/>
  <c r="W31" i="3"/>
  <c r="W27" i="3"/>
  <c r="CG43" i="5" l="1"/>
  <c r="CF43" i="5" s="1"/>
  <c r="AK43" i="5"/>
  <c r="CG93" i="5"/>
  <c r="CF93" i="5" s="1"/>
  <c r="AK93" i="5"/>
  <c r="AK41" i="5"/>
  <c r="CG41" i="5"/>
  <c r="CF41" i="5" s="1"/>
  <c r="CG106" i="5"/>
  <c r="CF106" i="5" s="1"/>
  <c r="AK106" i="5"/>
  <c r="CG60" i="5"/>
  <c r="CF60" i="5" s="1"/>
  <c r="AK60" i="5"/>
  <c r="AK147" i="5"/>
  <c r="CG147" i="5"/>
  <c r="CF147" i="5" s="1"/>
  <c r="AK104" i="5"/>
  <c r="CG104" i="5"/>
  <c r="CF104" i="5" s="1"/>
  <c r="AK94" i="5"/>
  <c r="CG94" i="5"/>
  <c r="CF94" i="5" s="1"/>
  <c r="CG62" i="5"/>
  <c r="CF62" i="5" s="1"/>
  <c r="AK62" i="5"/>
  <c r="CG132" i="5"/>
  <c r="CF132" i="5" s="1"/>
  <c r="AK132" i="5"/>
  <c r="CG23" i="5"/>
  <c r="CF23" i="5" s="1"/>
  <c r="AK23" i="5"/>
  <c r="CG86" i="5"/>
  <c r="CF86" i="5" s="1"/>
  <c r="AK86" i="5"/>
  <c r="AK61" i="5"/>
  <c r="CG61" i="5"/>
  <c r="CF61" i="5" s="1"/>
  <c r="CG32" i="5"/>
  <c r="CF32" i="5" s="1"/>
  <c r="AK32" i="5"/>
  <c r="CG129" i="5"/>
  <c r="CF129" i="5" s="1"/>
  <c r="AK129" i="5"/>
  <c r="CG34" i="5"/>
  <c r="CF34" i="5" s="1"/>
  <c r="AK34" i="5"/>
  <c r="AK142" i="5"/>
  <c r="CG142" i="5"/>
  <c r="CF142" i="5" s="1"/>
  <c r="CG82" i="5"/>
  <c r="CF82" i="5" s="1"/>
  <c r="AK82" i="5"/>
  <c r="CG4" i="5"/>
  <c r="CF4" i="5" s="1"/>
  <c r="AK4" i="5"/>
  <c r="CG9" i="5"/>
  <c r="CF9" i="5" s="1"/>
  <c r="AK9" i="5"/>
  <c r="CG126" i="5"/>
  <c r="CF126" i="5" s="1"/>
  <c r="AK126" i="5"/>
  <c r="CG102" i="5"/>
  <c r="CF102" i="5" s="1"/>
  <c r="AK102" i="5"/>
  <c r="AK16" i="5"/>
  <c r="CG16" i="5"/>
  <c r="CF16" i="5" s="1"/>
  <c r="CG49" i="5"/>
  <c r="CF49" i="5" s="1"/>
  <c r="AK49" i="5"/>
  <c r="CG123" i="5"/>
  <c r="CF123" i="5" s="1"/>
  <c r="AK123" i="5"/>
  <c r="CG44" i="5"/>
  <c r="CF44" i="5" s="1"/>
  <c r="AK44" i="5"/>
  <c r="CG5" i="5"/>
  <c r="CF5" i="5" s="1"/>
  <c r="AK5" i="5"/>
  <c r="AK10" i="5"/>
  <c r="CG10" i="5"/>
  <c r="CF10" i="5" s="1"/>
  <c r="AK146" i="5"/>
  <c r="CG146" i="5"/>
  <c r="CF146" i="5" s="1"/>
  <c r="AK21" i="5"/>
  <c r="CG21" i="5"/>
  <c r="CF21" i="5" s="1"/>
  <c r="CG130" i="5"/>
  <c r="CF130" i="5" s="1"/>
  <c r="AK130" i="5"/>
  <c r="CG77" i="5"/>
  <c r="CF77" i="5" s="1"/>
  <c r="AK77" i="5"/>
  <c r="CG33" i="5"/>
  <c r="CF33" i="5" s="1"/>
  <c r="AK33" i="5"/>
  <c r="AK140" i="5"/>
  <c r="CG140" i="5"/>
  <c r="CF140" i="5" s="1"/>
  <c r="CG101" i="5"/>
  <c r="CF101" i="5" s="1"/>
  <c r="AK101" i="5"/>
  <c r="CG87" i="5"/>
  <c r="CF87" i="5" s="1"/>
  <c r="AK87" i="5"/>
  <c r="CG110" i="5"/>
  <c r="CF110" i="5" s="1"/>
  <c r="AK110" i="5"/>
  <c r="CG141" i="5"/>
  <c r="CF141" i="5" s="1"/>
  <c r="AK141" i="5"/>
  <c r="CG57" i="5"/>
  <c r="CF57" i="5" s="1"/>
  <c r="AK57" i="5"/>
  <c r="CG28" i="5"/>
  <c r="CF28" i="5" s="1"/>
  <c r="AK28" i="5"/>
  <c r="AK31" i="5"/>
  <c r="CG31" i="5"/>
  <c r="CF31" i="5" s="1"/>
  <c r="CG103" i="5"/>
  <c r="CF103" i="5" s="1"/>
  <c r="AK103" i="5"/>
  <c r="AK35" i="5"/>
  <c r="CG35" i="5"/>
  <c r="CF35" i="5" s="1"/>
  <c r="AK139" i="5"/>
  <c r="CG139" i="5"/>
  <c r="CF139" i="5" s="1"/>
  <c r="CG85" i="5"/>
  <c r="CF85" i="5" s="1"/>
  <c r="AK85" i="5"/>
  <c r="CG42" i="5"/>
  <c r="CF42" i="5" s="1"/>
  <c r="AK42" i="5"/>
  <c r="CG78" i="5"/>
  <c r="CF78" i="5" s="1"/>
  <c r="AK78" i="5"/>
  <c r="AK105" i="5"/>
  <c r="CG105" i="5"/>
  <c r="CF105" i="5" s="1"/>
  <c r="CG80" i="5"/>
  <c r="CF80" i="5" s="1"/>
  <c r="AK80" i="5"/>
  <c r="AK48" i="5"/>
  <c r="CG48" i="5"/>
  <c r="CF48" i="5" s="1"/>
  <c r="CG40" i="5"/>
  <c r="CF40" i="5" s="1"/>
  <c r="AK40" i="5"/>
  <c r="AK58" i="5"/>
  <c r="CG58" i="5"/>
  <c r="CF58" i="5" s="1"/>
  <c r="CG8" i="5"/>
  <c r="CF8" i="5" s="1"/>
  <c r="AK8" i="5"/>
  <c r="CG65" i="5"/>
  <c r="CF65" i="5" s="1"/>
  <c r="AK65" i="5"/>
  <c r="CG20" i="5"/>
  <c r="CF20" i="5" s="1"/>
  <c r="AK20" i="5"/>
  <c r="AK143" i="5"/>
  <c r="CG143" i="5"/>
  <c r="CF143" i="5" s="1"/>
  <c r="AK84" i="5"/>
  <c r="CG84" i="5"/>
  <c r="CF84" i="5" s="1"/>
  <c r="AK120" i="5"/>
  <c r="CG120" i="5"/>
  <c r="CF120" i="5" s="1"/>
  <c r="CG83" i="5"/>
  <c r="CF83" i="5" s="1"/>
  <c r="AK83" i="5"/>
  <c r="CG30" i="5"/>
  <c r="CF30" i="5" s="1"/>
  <c r="AK30" i="5"/>
  <c r="CG79" i="5"/>
  <c r="CF79" i="5" s="1"/>
  <c r="AK79" i="5"/>
  <c r="CG100" i="5"/>
  <c r="CF100" i="5" s="1"/>
  <c r="AK100" i="5"/>
  <c r="CG121" i="5"/>
  <c r="CF121" i="5" s="1"/>
  <c r="AK121" i="5"/>
  <c r="CG15" i="5"/>
  <c r="CF15" i="5" s="1"/>
  <c r="AK15" i="5"/>
  <c r="CG81" i="5"/>
  <c r="CF81" i="5" s="1"/>
  <c r="AK81" i="5"/>
  <c r="CG127" i="5"/>
  <c r="CF127" i="5" s="1"/>
  <c r="AK127" i="5"/>
  <c r="CG124" i="5"/>
  <c r="CF124" i="5" s="1"/>
  <c r="AK124" i="5"/>
  <c r="AK74" i="5"/>
  <c r="CG74" i="5"/>
  <c r="CF74" i="5" s="1"/>
  <c r="CG14" i="5"/>
  <c r="CF14" i="5" s="1"/>
  <c r="AK14" i="5"/>
  <c r="CG128" i="5"/>
  <c r="CF128" i="5" s="1"/>
  <c r="AK128" i="5"/>
  <c r="AK137" i="5"/>
  <c r="CG137" i="5"/>
  <c r="CF137" i="5" s="1"/>
  <c r="CG119" i="5"/>
  <c r="CF119" i="5" s="1"/>
  <c r="AK119" i="5"/>
  <c r="CG64" i="5"/>
  <c r="CF64" i="5" s="1"/>
  <c r="AK64" i="5"/>
  <c r="AK131" i="5"/>
  <c r="CG131" i="5"/>
  <c r="CF131" i="5" s="1"/>
  <c r="AK59" i="5"/>
  <c r="CG59" i="5"/>
  <c r="CF59" i="5" s="1"/>
  <c r="AK29" i="5"/>
  <c r="CG29" i="5"/>
  <c r="CF29" i="5" s="1"/>
  <c r="AK122" i="5"/>
  <c r="CG122" i="5"/>
  <c r="CF122" i="5" s="1"/>
  <c r="AK17" i="5"/>
  <c r="CG17" i="5"/>
  <c r="CF17" i="5" s="1"/>
  <c r="CG125" i="5"/>
  <c r="CF125" i="5" s="1"/>
  <c r="AK125" i="5"/>
  <c r="CG144" i="5"/>
  <c r="CF144" i="5" s="1"/>
  <c r="AK144" i="5"/>
  <c r="AK138" i="5"/>
  <c r="CG138" i="5"/>
  <c r="CF138" i="5" s="1"/>
  <c r="CG108" i="5"/>
  <c r="CF108" i="5" s="1"/>
  <c r="AK108" i="5"/>
  <c r="CG56" i="5"/>
  <c r="CF56" i="5" s="1"/>
  <c r="AK56" i="5"/>
  <c r="AK22" i="5"/>
  <c r="CG22" i="5"/>
  <c r="CF22" i="5" s="1"/>
  <c r="AK145" i="5"/>
  <c r="CG145" i="5"/>
  <c r="CF145" i="5" s="1"/>
  <c r="CG107" i="5"/>
  <c r="CF107" i="5" s="1"/>
  <c r="AK107" i="5"/>
  <c r="CG76" i="5"/>
  <c r="CF76" i="5" s="1"/>
  <c r="AK76" i="5"/>
  <c r="AK55" i="5"/>
  <c r="CG55" i="5"/>
  <c r="CF55" i="5" s="1"/>
  <c r="AK109" i="5"/>
  <c r="CG109" i="5"/>
  <c r="CF109" i="5" s="1"/>
  <c r="CG63" i="5"/>
  <c r="CF63" i="5" s="1"/>
  <c r="AK63" i="5"/>
  <c r="CG75" i="5"/>
  <c r="CF75" i="5" s="1"/>
  <c r="AK75" i="5"/>
  <c r="CG45" i="5"/>
  <c r="CF45" i="5" s="1"/>
  <c r="AK45" i="5"/>
  <c r="J177" i="5" l="1"/>
  <c r="J174" i="5"/>
  <c r="R46" i="4"/>
  <c r="R45" i="4"/>
  <c r="R44" i="4"/>
  <c r="R43" i="4"/>
  <c r="R42" i="4"/>
  <c r="R41" i="4"/>
  <c r="R40" i="4"/>
  <c r="R39" i="4"/>
  <c r="R38" i="4"/>
  <c r="R37" i="4"/>
  <c r="R36" i="4"/>
  <c r="R35" i="4"/>
  <c r="R34" i="4"/>
  <c r="R33" i="4"/>
  <c r="R32" i="4"/>
  <c r="R31" i="4"/>
  <c r="R30" i="4"/>
  <c r="R29" i="4"/>
  <c r="R28" i="4"/>
  <c r="R27" i="4"/>
  <c r="V35" i="4" l="1"/>
  <c r="V37" i="4"/>
  <c r="V41" i="4"/>
  <c r="V39" i="4"/>
  <c r="V43" i="4"/>
  <c r="V45" i="4"/>
  <c r="V33" i="4"/>
  <c r="V31" i="4"/>
  <c r="X31" i="4" s="1"/>
  <c r="V29" i="4"/>
  <c r="V27" i="4"/>
  <c r="X39" i="4" l="1"/>
  <c r="X43" i="4"/>
  <c r="BD144" i="4" s="1"/>
  <c r="X35" i="4"/>
  <c r="BE46" i="4" s="1"/>
  <c r="BE18" i="4"/>
  <c r="BD15" i="4"/>
  <c r="BE11" i="4"/>
  <c r="BD18" i="4"/>
  <c r="BE16" i="4"/>
  <c r="BE12" i="4"/>
  <c r="BF17" i="4"/>
  <c r="BE14" i="4"/>
  <c r="BE13" i="4"/>
  <c r="BE9" i="4"/>
  <c r="BE17" i="4"/>
  <c r="BD14" i="4"/>
  <c r="BD13" i="4"/>
  <c r="BD9" i="4"/>
  <c r="BD17" i="4"/>
  <c r="BD11" i="4"/>
  <c r="BE10" i="4"/>
  <c r="BE8" i="4"/>
  <c r="BD8" i="4"/>
  <c r="BD16" i="4"/>
  <c r="BD10" i="4"/>
  <c r="BF14" i="4"/>
  <c r="BD12" i="4"/>
  <c r="BE15" i="4"/>
  <c r="BF18" i="4"/>
  <c r="BF15" i="4"/>
  <c r="BF16" i="4"/>
  <c r="AM17" i="4"/>
  <c r="CH17" i="4" s="1"/>
  <c r="AM12" i="4"/>
  <c r="CH12" i="4" s="1"/>
  <c r="AL12" i="4"/>
  <c r="AN16" i="4"/>
  <c r="CI16" i="4" s="1"/>
  <c r="AM11" i="4"/>
  <c r="CH11" i="4" s="1"/>
  <c r="AM10" i="4"/>
  <c r="CH10" i="4" s="1"/>
  <c r="AM13" i="4"/>
  <c r="CH13" i="4" s="1"/>
  <c r="AL18" i="4"/>
  <c r="AM18" i="4"/>
  <c r="CH18" i="4" s="1"/>
  <c r="AL13" i="4"/>
  <c r="AN18" i="4"/>
  <c r="CI18" i="4" s="1"/>
  <c r="AM9" i="4"/>
  <c r="CH9" i="4" s="1"/>
  <c r="AL11" i="4"/>
  <c r="AN15" i="4"/>
  <c r="CI15" i="4" s="1"/>
  <c r="AN17" i="4"/>
  <c r="CI17" i="4" s="1"/>
  <c r="AN14" i="4"/>
  <c r="CI14" i="4" s="1"/>
  <c r="AL14" i="4"/>
  <c r="AL16" i="4"/>
  <c r="AL10" i="4"/>
  <c r="AM14" i="4"/>
  <c r="CH14" i="4" s="1"/>
  <c r="AM16" i="4"/>
  <c r="CH16" i="4" s="1"/>
  <c r="AL8" i="4"/>
  <c r="AM8" i="4"/>
  <c r="CH8" i="4" s="1"/>
  <c r="AM15" i="4"/>
  <c r="CH15" i="4" s="1"/>
  <c r="AL9" i="4"/>
  <c r="AL17" i="4"/>
  <c r="AL15" i="4"/>
  <c r="BG46" i="4"/>
  <c r="AL104" i="4"/>
  <c r="AL127" i="4"/>
  <c r="AL124" i="4"/>
  <c r="AL141" i="4"/>
  <c r="AN119" i="4"/>
  <c r="CI119" i="4" s="1"/>
  <c r="AM99" i="4"/>
  <c r="CH99" i="4" s="1"/>
  <c r="AO135" i="4"/>
  <c r="CJ135" i="4" s="1"/>
  <c r="AM142" i="4"/>
  <c r="CH142" i="4" s="1"/>
  <c r="AN116" i="4"/>
  <c r="CI116" i="4" s="1"/>
  <c r="AO127" i="4"/>
  <c r="CJ127" i="4" s="1"/>
  <c r="AL129" i="4"/>
  <c r="AM138" i="4"/>
  <c r="CH138" i="4" s="1"/>
  <c r="AM97" i="4"/>
  <c r="CH97" i="4" s="1"/>
  <c r="AN120" i="4"/>
  <c r="CI120" i="4" s="1"/>
  <c r="AM144" i="4"/>
  <c r="CH144" i="4" s="1"/>
  <c r="AL144" i="4"/>
  <c r="AP140" i="4"/>
  <c r="CK140" i="4" s="1"/>
  <c r="AM127" i="4"/>
  <c r="CH127" i="4" s="1"/>
  <c r="AN139" i="4"/>
  <c r="CI139" i="4" s="1"/>
  <c r="BG90" i="4"/>
  <c r="BG89" i="4"/>
  <c r="BG87" i="4"/>
  <c r="BG85" i="4"/>
  <c r="BG83" i="4"/>
  <c r="BG81" i="4"/>
  <c r="BF91" i="4"/>
  <c r="BE90" i="4"/>
  <c r="BE89" i="4"/>
  <c r="BE87" i="4"/>
  <c r="BE85" i="4"/>
  <c r="BE83" i="4"/>
  <c r="BE81" i="4"/>
  <c r="BE79" i="4"/>
  <c r="BE77" i="4"/>
  <c r="BE75" i="4"/>
  <c r="BE72" i="4"/>
  <c r="BD69" i="4"/>
  <c r="BF67" i="4"/>
  <c r="BF87" i="4"/>
  <c r="BG84" i="4"/>
  <c r="BE82" i="4"/>
  <c r="BG80" i="4"/>
  <c r="BG79" i="4"/>
  <c r="BF78" i="4"/>
  <c r="BF77" i="4"/>
  <c r="BE76" i="4"/>
  <c r="BD75" i="4"/>
  <c r="BD74" i="4"/>
  <c r="BD70" i="4"/>
  <c r="BF69" i="4"/>
  <c r="BD66" i="4"/>
  <c r="BF64" i="4"/>
  <c r="BE61" i="4"/>
  <c r="BD87" i="4"/>
  <c r="BF84" i="4"/>
  <c r="BD82" i="4"/>
  <c r="BF80" i="4"/>
  <c r="BF79" i="4"/>
  <c r="BE78" i="4"/>
  <c r="BD77" i="4"/>
  <c r="BD76" i="4"/>
  <c r="BF73" i="4"/>
  <c r="BE69" i="4"/>
  <c r="BF68" i="4"/>
  <c r="BE64" i="4"/>
  <c r="BD61" i="4"/>
  <c r="BF59" i="4"/>
  <c r="BE56" i="4"/>
  <c r="BE55" i="4"/>
  <c r="BF90" i="4"/>
  <c r="BF89" i="4"/>
  <c r="BG86" i="4"/>
  <c r="BE84" i="4"/>
  <c r="BF81" i="4"/>
  <c r="BE80" i="4"/>
  <c r="BD79" i="4"/>
  <c r="BD78" i="4"/>
  <c r="BE73" i="4"/>
  <c r="BE68" i="4"/>
  <c r="BG88" i="4"/>
  <c r="BE86" i="4"/>
  <c r="BF83" i="4"/>
  <c r="BD72" i="4"/>
  <c r="BF71" i="4"/>
  <c r="BE70" i="4"/>
  <c r="BD68" i="4"/>
  <c r="BD67" i="4"/>
  <c r="BD64" i="4"/>
  <c r="BD57" i="4"/>
  <c r="BF56" i="4"/>
  <c r="BE52" i="4"/>
  <c r="BE48" i="4"/>
  <c r="BD90" i="4"/>
  <c r="BD83" i="4"/>
  <c r="BF72" i="4"/>
  <c r="BF65" i="4"/>
  <c r="BD56" i="4"/>
  <c r="BF88" i="4"/>
  <c r="BE88" i="4"/>
  <c r="BD84" i="4"/>
  <c r="BD65" i="4"/>
  <c r="BF62" i="4"/>
  <c r="BE60" i="4"/>
  <c r="BD88" i="4"/>
  <c r="BF85" i="4"/>
  <c r="BF66" i="4"/>
  <c r="BF86" i="4"/>
  <c r="BG82" i="4"/>
  <c r="BE51" i="4"/>
  <c r="BD86" i="4"/>
  <c r="BF82" i="4"/>
  <c r="BE71" i="4"/>
  <c r="BF60" i="4"/>
  <c r="BE59" i="4"/>
  <c r="BF58" i="4"/>
  <c r="BD55" i="4"/>
  <c r="BD51" i="4"/>
  <c r="BG78" i="4"/>
  <c r="BG76" i="4"/>
  <c r="BG75" i="4"/>
  <c r="BG74" i="4"/>
  <c r="BD71" i="4"/>
  <c r="BE65" i="4"/>
  <c r="BF61" i="4"/>
  <c r="BD60" i="4"/>
  <c r="BD59" i="4"/>
  <c r="BE58" i="4"/>
  <c r="BE54" i="4"/>
  <c r="BD48" i="4"/>
  <c r="BG91" i="4"/>
  <c r="BD80" i="4"/>
  <c r="BE74" i="4"/>
  <c r="BE62" i="4"/>
  <c r="BE57" i="4"/>
  <c r="BD53" i="4"/>
  <c r="BD50" i="4"/>
  <c r="BE91" i="4"/>
  <c r="BE67" i="4"/>
  <c r="BF63" i="4"/>
  <c r="BD62" i="4"/>
  <c r="BD52" i="4"/>
  <c r="BD89" i="4"/>
  <c r="BE49" i="4"/>
  <c r="BE50" i="4"/>
  <c r="BD49" i="4"/>
  <c r="BD91" i="4"/>
  <c r="BD54" i="4"/>
  <c r="BF70" i="4"/>
  <c r="BE66" i="4"/>
  <c r="BF57" i="4"/>
  <c r="BD81" i="4"/>
  <c r="BE63" i="4"/>
  <c r="BD58" i="4"/>
  <c r="BG77" i="4"/>
  <c r="BF75" i="4"/>
  <c r="BF74" i="4"/>
  <c r="BD73" i="4"/>
  <c r="BE53" i="4"/>
  <c r="BD85" i="4"/>
  <c r="BF76" i="4"/>
  <c r="BD63" i="4"/>
  <c r="AN81" i="4"/>
  <c r="CI81" i="4" s="1"/>
  <c r="AM84" i="4"/>
  <c r="CH84" i="4" s="1"/>
  <c r="AL71" i="4"/>
  <c r="AL70" i="4"/>
  <c r="AN61" i="4"/>
  <c r="CI61" i="4" s="1"/>
  <c r="AO79" i="4"/>
  <c r="CJ79" i="4" s="1"/>
  <c r="AM61" i="4"/>
  <c r="CH61" i="4" s="1"/>
  <c r="AO91" i="4"/>
  <c r="CJ91" i="4" s="1"/>
  <c r="AM63" i="4"/>
  <c r="CH63" i="4" s="1"/>
  <c r="AM66" i="4"/>
  <c r="CH66" i="4" s="1"/>
  <c r="AN90" i="4"/>
  <c r="CI90" i="4" s="1"/>
  <c r="AO81" i="4"/>
  <c r="CJ81" i="4" s="1"/>
  <c r="AN72" i="4"/>
  <c r="CI72" i="4" s="1"/>
  <c r="AL52" i="4"/>
  <c r="AN87" i="4"/>
  <c r="CI87" i="4" s="1"/>
  <c r="AM50" i="4"/>
  <c r="CH50" i="4" s="1"/>
  <c r="AL88" i="4"/>
  <c r="AO75" i="4"/>
  <c r="CJ75" i="4" s="1"/>
  <c r="AM90" i="4"/>
  <c r="CH90" i="4" s="1"/>
  <c r="AM91" i="4"/>
  <c r="CH91" i="4" s="1"/>
  <c r="AN63" i="4"/>
  <c r="CI63" i="4" s="1"/>
  <c r="AN79" i="4"/>
  <c r="CI79" i="4" s="1"/>
  <c r="AN82" i="4"/>
  <c r="CI82" i="4" s="1"/>
  <c r="AN66" i="4"/>
  <c r="CI66" i="4" s="1"/>
  <c r="AL91" i="4"/>
  <c r="AM86" i="4"/>
  <c r="CH86" i="4" s="1"/>
  <c r="AM85" i="4"/>
  <c r="CH85" i="4" s="1"/>
  <c r="AM48" i="4"/>
  <c r="CH48" i="4" s="1"/>
  <c r="AL51" i="4"/>
  <c r="AN88" i="4"/>
  <c r="CI88" i="4" s="1"/>
  <c r="AN60" i="4"/>
  <c r="CI60" i="4" s="1"/>
  <c r="AN57" i="4"/>
  <c r="CI57" i="4" s="1"/>
  <c r="AM64" i="4"/>
  <c r="CH64" i="4" s="1"/>
  <c r="AL66" i="4"/>
  <c r="AM69" i="4"/>
  <c r="CH69" i="4" s="1"/>
  <c r="AL50" i="4"/>
  <c r="AO83" i="4"/>
  <c r="CJ83" i="4" s="1"/>
  <c r="AL73" i="4"/>
  <c r="AM70" i="4"/>
  <c r="CH70" i="4" s="1"/>
  <c r="AO86" i="4"/>
  <c r="CJ86" i="4" s="1"/>
  <c r="AL69" i="4"/>
  <c r="AL67" i="4"/>
  <c r="AM73" i="4"/>
  <c r="CH73" i="4" s="1"/>
  <c r="AO78" i="4"/>
  <c r="CJ78" i="4" s="1"/>
  <c r="AO76" i="4"/>
  <c r="CJ76" i="4" s="1"/>
  <c r="AN89" i="4"/>
  <c r="CI89" i="4" s="1"/>
  <c r="AN67" i="4"/>
  <c r="CI67" i="4" s="1"/>
  <c r="AN80" i="4"/>
  <c r="CI80" i="4" s="1"/>
  <c r="AM83" i="4"/>
  <c r="CH83" i="4" s="1"/>
  <c r="AO84" i="4"/>
  <c r="CJ84" i="4" s="1"/>
  <c r="AN85" i="4"/>
  <c r="CI85" i="4" s="1"/>
  <c r="AO89" i="4"/>
  <c r="CJ89" i="4" s="1"/>
  <c r="AN58" i="4"/>
  <c r="CI58" i="4" s="1"/>
  <c r="AM68" i="4"/>
  <c r="CH68" i="4" s="1"/>
  <c r="AM87" i="4"/>
  <c r="CH87" i="4" s="1"/>
  <c r="AL89" i="4"/>
  <c r="AM62" i="4"/>
  <c r="CH62" i="4" s="1"/>
  <c r="AN86" i="4"/>
  <c r="CI86" i="4" s="1"/>
  <c r="AM88" i="4"/>
  <c r="CH88" i="4" s="1"/>
  <c r="AM89" i="4"/>
  <c r="CH89" i="4" s="1"/>
  <c r="AL53" i="4"/>
  <c r="AN91" i="4"/>
  <c r="CI91" i="4" s="1"/>
  <c r="AO87" i="4"/>
  <c r="CJ87" i="4" s="1"/>
  <c r="AN78" i="4"/>
  <c r="CI78" i="4" s="1"/>
  <c r="AL54" i="4"/>
  <c r="AM60" i="4"/>
  <c r="CH60" i="4" s="1"/>
  <c r="AN69" i="4"/>
  <c r="CI69" i="4" s="1"/>
  <c r="AO88" i="4"/>
  <c r="CJ88" i="4" s="1"/>
  <c r="AM53" i="4"/>
  <c r="CH53" i="4" s="1"/>
  <c r="AM51" i="4"/>
  <c r="CH51" i="4" s="1"/>
  <c r="AM67" i="4"/>
  <c r="CH67" i="4" s="1"/>
  <c r="AL72" i="4"/>
  <c r="AN84" i="4"/>
  <c r="CI84" i="4" s="1"/>
  <c r="AL68" i="4"/>
  <c r="AL90" i="4"/>
  <c r="AM72" i="4"/>
  <c r="CH72" i="4" s="1"/>
  <c r="AN83" i="4"/>
  <c r="CI83" i="4" s="1"/>
  <c r="AM77" i="4"/>
  <c r="CH77" i="4" s="1"/>
  <c r="AN75" i="4"/>
  <c r="CI75" i="4" s="1"/>
  <c r="AM52" i="4"/>
  <c r="CH52" i="4" s="1"/>
  <c r="AL74" i="4"/>
  <c r="AM79" i="4"/>
  <c r="CH79" i="4" s="1"/>
  <c r="AN70" i="4"/>
  <c r="CI70" i="4" s="1"/>
  <c r="AL57" i="4"/>
  <c r="AO82" i="4"/>
  <c r="CJ82" i="4" s="1"/>
  <c r="AM49" i="4"/>
  <c r="CH49" i="4" s="1"/>
  <c r="AL76" i="4"/>
  <c r="AM74" i="4"/>
  <c r="CH74" i="4" s="1"/>
  <c r="AL64" i="4"/>
  <c r="AM57" i="4"/>
  <c r="CH57" i="4" s="1"/>
  <c r="AL48" i="4"/>
  <c r="AN76" i="4"/>
  <c r="CI76" i="4" s="1"/>
  <c r="AN64" i="4"/>
  <c r="CI64" i="4" s="1"/>
  <c r="AL85" i="4"/>
  <c r="AN74" i="4"/>
  <c r="CI74" i="4" s="1"/>
  <c r="AL59" i="4"/>
  <c r="AO74" i="4"/>
  <c r="CJ74" i="4" s="1"/>
  <c r="AL55" i="4"/>
  <c r="AL60" i="4"/>
  <c r="AO85" i="4"/>
  <c r="CJ85" i="4" s="1"/>
  <c r="AL86" i="4"/>
  <c r="AL61" i="4"/>
  <c r="AN77" i="4"/>
  <c r="CI77" i="4" s="1"/>
  <c r="AM80" i="4"/>
  <c r="CH80" i="4" s="1"/>
  <c r="AL80" i="4"/>
  <c r="AM58" i="4"/>
  <c r="CH58" i="4" s="1"/>
  <c r="AL83" i="4"/>
  <c r="AL62" i="4"/>
  <c r="AM82" i="4"/>
  <c r="CH82" i="4" s="1"/>
  <c r="AO80" i="4"/>
  <c r="CJ80" i="4" s="1"/>
  <c r="AL84" i="4"/>
  <c r="AL49" i="4"/>
  <c r="AL79" i="4"/>
  <c r="AN62" i="4"/>
  <c r="CI62" i="4" s="1"/>
  <c r="AM81" i="4"/>
  <c r="CH81" i="4" s="1"/>
  <c r="AO77" i="4"/>
  <c r="CJ77" i="4" s="1"/>
  <c r="AL65" i="4"/>
  <c r="AL77" i="4"/>
  <c r="AL56" i="4"/>
  <c r="AM55" i="4"/>
  <c r="CH55" i="4" s="1"/>
  <c r="AN71" i="4"/>
  <c r="CI71" i="4" s="1"/>
  <c r="AN65" i="4"/>
  <c r="CI65" i="4" s="1"/>
  <c r="AL58" i="4"/>
  <c r="AM56" i="4"/>
  <c r="CH56" i="4" s="1"/>
  <c r="AM71" i="4"/>
  <c r="CH71" i="4" s="1"/>
  <c r="AL75" i="4"/>
  <c r="AL81" i="4"/>
  <c r="AN56" i="4"/>
  <c r="CI56" i="4" s="1"/>
  <c r="AL78" i="4"/>
  <c r="AN59" i="4"/>
  <c r="CI59" i="4" s="1"/>
  <c r="AM78" i="4"/>
  <c r="CH78" i="4" s="1"/>
  <c r="AM54" i="4"/>
  <c r="CH54" i="4" s="1"/>
  <c r="AL82" i="4"/>
  <c r="AM76" i="4"/>
  <c r="CH76" i="4" s="1"/>
  <c r="AO90" i="4"/>
  <c r="CJ90" i="4" s="1"/>
  <c r="AL63" i="4"/>
  <c r="AN68" i="4"/>
  <c r="CI68" i="4" s="1"/>
  <c r="AM59" i="4"/>
  <c r="CH59" i="4" s="1"/>
  <c r="AN73" i="4"/>
  <c r="CI73" i="4" s="1"/>
  <c r="AM65" i="4"/>
  <c r="CH65" i="4" s="1"/>
  <c r="AM75" i="4"/>
  <c r="CH75" i="4" s="1"/>
  <c r="AL87" i="4"/>
  <c r="X27" i="4"/>
  <c r="AM94" i="4" l="1"/>
  <c r="CH94" i="4" s="1"/>
  <c r="AL139" i="4"/>
  <c r="AN37" i="4"/>
  <c r="CI37" i="4" s="1"/>
  <c r="AN140" i="4"/>
  <c r="CI140" i="4" s="1"/>
  <c r="AL145" i="4"/>
  <c r="AM125" i="4"/>
  <c r="CH125" i="4" s="1"/>
  <c r="AL130" i="4"/>
  <c r="AM124" i="4"/>
  <c r="CH124" i="4" s="1"/>
  <c r="AL107" i="4"/>
  <c r="AN107" i="4"/>
  <c r="CI107" i="4" s="1"/>
  <c r="AN141" i="4"/>
  <c r="CI141" i="4" s="1"/>
  <c r="AO129" i="4"/>
  <c r="CJ129" i="4" s="1"/>
  <c r="AN122" i="4"/>
  <c r="CI122" i="4" s="1"/>
  <c r="AM120" i="4"/>
  <c r="CH120" i="4" s="1"/>
  <c r="AL102" i="4"/>
  <c r="AL119" i="4"/>
  <c r="AN118" i="4"/>
  <c r="CI118" i="4" s="1"/>
  <c r="AM123" i="4"/>
  <c r="CH123" i="4" s="1"/>
  <c r="AN109" i="4"/>
  <c r="CI109" i="4" s="1"/>
  <c r="AM122" i="4"/>
  <c r="CH122" i="4" s="1"/>
  <c r="AN134" i="4"/>
  <c r="CI134" i="4" s="1"/>
  <c r="AL98" i="4"/>
  <c r="CG98" i="4" s="1"/>
  <c r="AM137" i="4"/>
  <c r="CH137" i="4" s="1"/>
  <c r="AL122" i="4"/>
  <c r="AP137" i="4"/>
  <c r="CK137" i="4" s="1"/>
  <c r="AM132" i="4"/>
  <c r="CH132" i="4" s="1"/>
  <c r="AL106" i="4"/>
  <c r="AN104" i="4"/>
  <c r="CI104" i="4" s="1"/>
  <c r="AM114" i="4"/>
  <c r="CH114" i="4" s="1"/>
  <c r="AL132" i="4"/>
  <c r="CG132" i="4" s="1"/>
  <c r="AL110" i="4"/>
  <c r="CG110" i="4" s="1"/>
  <c r="AP148" i="4"/>
  <c r="CK148" i="4" s="1"/>
  <c r="AN145" i="4"/>
  <c r="CI145" i="4" s="1"/>
  <c r="BE133" i="4"/>
  <c r="AM135" i="4"/>
  <c r="CH135" i="4" s="1"/>
  <c r="BD99" i="4"/>
  <c r="AN124" i="4"/>
  <c r="CI124" i="4" s="1"/>
  <c r="BD102" i="4"/>
  <c r="BF127" i="4"/>
  <c r="AO137" i="4"/>
  <c r="CJ137" i="4" s="1"/>
  <c r="AN108" i="4"/>
  <c r="CI108" i="4" s="1"/>
  <c r="BD145" i="4"/>
  <c r="BD143" i="4"/>
  <c r="AL93" i="4"/>
  <c r="CG93" i="4" s="1"/>
  <c r="AM140" i="4"/>
  <c r="CH140" i="4" s="1"/>
  <c r="AL125" i="4"/>
  <c r="CG125" i="4" s="1"/>
  <c r="AO138" i="4"/>
  <c r="CJ138" i="4" s="1"/>
  <c r="AL105" i="4"/>
  <c r="CG105" i="4" s="1"/>
  <c r="AM100" i="4"/>
  <c r="CH100" i="4" s="1"/>
  <c r="AL131" i="4"/>
  <c r="CG131" i="4" s="1"/>
  <c r="AM103" i="4"/>
  <c r="CH103" i="4" s="1"/>
  <c r="AM147" i="4"/>
  <c r="CH147" i="4" s="1"/>
  <c r="AL117" i="4"/>
  <c r="CG117" i="4" s="1"/>
  <c r="AO128" i="4"/>
  <c r="CJ128" i="4" s="1"/>
  <c r="AN147" i="4"/>
  <c r="CI147" i="4" s="1"/>
  <c r="BE100" i="4"/>
  <c r="BG127" i="4"/>
  <c r="BF145" i="4"/>
  <c r="BE129" i="4"/>
  <c r="BE110" i="4"/>
  <c r="BD138" i="4"/>
  <c r="AN129" i="4"/>
  <c r="CI129" i="4" s="1"/>
  <c r="AN102" i="4"/>
  <c r="CI102" i="4" s="1"/>
  <c r="AM134" i="4"/>
  <c r="CH134" i="4" s="1"/>
  <c r="AO124" i="4"/>
  <c r="CJ124" i="4" s="1"/>
  <c r="BD103" i="4"/>
  <c r="BD123" i="4"/>
  <c r="BG143" i="4"/>
  <c r="AM98" i="4"/>
  <c r="CH98" i="4" s="1"/>
  <c r="AM106" i="4"/>
  <c r="CH106" i="4" s="1"/>
  <c r="AN117" i="4"/>
  <c r="CI117" i="4" s="1"/>
  <c r="AM130" i="4"/>
  <c r="CH130" i="4" s="1"/>
  <c r="BF111" i="4"/>
  <c r="BF118" i="4"/>
  <c r="BH148" i="4"/>
  <c r="AL103" i="4"/>
  <c r="CG103" i="4" s="1"/>
  <c r="AL101" i="4"/>
  <c r="CG101" i="4" s="1"/>
  <c r="AL146" i="4"/>
  <c r="CG146" i="4" s="1"/>
  <c r="AL109" i="4"/>
  <c r="CG109" i="4" s="1"/>
  <c r="AL121" i="4"/>
  <c r="CG121" i="4" s="1"/>
  <c r="AO119" i="4"/>
  <c r="CJ119" i="4" s="1"/>
  <c r="AN138" i="4"/>
  <c r="CI138" i="4" s="1"/>
  <c r="AM121" i="4"/>
  <c r="CH121" i="4" s="1"/>
  <c r="AN143" i="4"/>
  <c r="CI143" i="4" s="1"/>
  <c r="AM129" i="4"/>
  <c r="CH129" i="4" s="1"/>
  <c r="AO134" i="4"/>
  <c r="CJ134" i="4" s="1"/>
  <c r="AP145" i="4"/>
  <c r="CK145" i="4" s="1"/>
  <c r="AN148" i="4"/>
  <c r="CI148" i="4" s="1"/>
  <c r="BG129" i="4"/>
  <c r="BD130" i="4"/>
  <c r="AL147" i="4"/>
  <c r="CG147" i="4" s="1"/>
  <c r="AN121" i="4"/>
  <c r="CI121" i="4" s="1"/>
  <c r="AL138" i="4"/>
  <c r="CG138" i="4" s="1"/>
  <c r="AL94" i="4"/>
  <c r="CG94" i="4" s="1"/>
  <c r="CF94" i="4" s="1"/>
  <c r="AL100" i="4"/>
  <c r="AO125" i="4"/>
  <c r="CJ125" i="4" s="1"/>
  <c r="AL143" i="4"/>
  <c r="CG143" i="4" s="1"/>
  <c r="AO145" i="4"/>
  <c r="CJ145" i="4" s="1"/>
  <c r="AN123" i="4"/>
  <c r="CI123" i="4" s="1"/>
  <c r="AN103" i="4"/>
  <c r="CI103" i="4" s="1"/>
  <c r="BF123" i="4"/>
  <c r="BE113" i="4"/>
  <c r="BF128" i="4"/>
  <c r="AN115" i="4"/>
  <c r="CI115" i="4" s="1"/>
  <c r="AM119" i="4"/>
  <c r="CH119" i="4" s="1"/>
  <c r="AL140" i="4"/>
  <c r="CG140" i="4" s="1"/>
  <c r="AL137" i="4"/>
  <c r="CG137" i="4" s="1"/>
  <c r="AM143" i="4"/>
  <c r="CH143" i="4" s="1"/>
  <c r="AN142" i="4"/>
  <c r="CI142" i="4" s="1"/>
  <c r="AL97" i="4"/>
  <c r="CG97" i="4" s="1"/>
  <c r="CF97" i="4" s="1"/>
  <c r="AP141" i="4"/>
  <c r="CK141" i="4" s="1"/>
  <c r="AL116" i="4"/>
  <c r="CG116" i="4" s="1"/>
  <c r="AM113" i="4"/>
  <c r="CH113" i="4" s="1"/>
  <c r="AM115" i="4"/>
  <c r="CH115" i="4" s="1"/>
  <c r="BE101" i="4"/>
  <c r="BF129" i="4"/>
  <c r="BE112" i="4"/>
  <c r="BD147" i="4"/>
  <c r="BF134" i="4"/>
  <c r="AM139" i="4"/>
  <c r="CH139" i="4" s="1"/>
  <c r="AM102" i="4"/>
  <c r="CH102" i="4" s="1"/>
  <c r="AM126" i="4"/>
  <c r="CH126" i="4" s="1"/>
  <c r="AM104" i="4"/>
  <c r="CH104" i="4" s="1"/>
  <c r="AO122" i="4"/>
  <c r="CJ122" i="4" s="1"/>
  <c r="AN110" i="4"/>
  <c r="CI110" i="4" s="1"/>
  <c r="AN146" i="4"/>
  <c r="CI146" i="4" s="1"/>
  <c r="AM136" i="4"/>
  <c r="CH136" i="4" s="1"/>
  <c r="AN114" i="4"/>
  <c r="CI114" i="4" s="1"/>
  <c r="AM105" i="4"/>
  <c r="CH105" i="4" s="1"/>
  <c r="AP143" i="4"/>
  <c r="CK143" i="4" s="1"/>
  <c r="BE107" i="4"/>
  <c r="BD96" i="4"/>
  <c r="BG144" i="4"/>
  <c r="BE120" i="4"/>
  <c r="BE146" i="4"/>
  <c r="AM101" i="4"/>
  <c r="CH101" i="4" s="1"/>
  <c r="AL108" i="4"/>
  <c r="CG108" i="4" s="1"/>
  <c r="AO139" i="4"/>
  <c r="CJ139" i="4" s="1"/>
  <c r="AL126" i="4"/>
  <c r="CG126" i="4" s="1"/>
  <c r="AM141" i="4"/>
  <c r="CH141" i="4" s="1"/>
  <c r="AM145" i="4"/>
  <c r="CH145" i="4" s="1"/>
  <c r="AL142" i="4"/>
  <c r="CG142" i="4" s="1"/>
  <c r="AO130" i="4"/>
  <c r="CJ130" i="4" s="1"/>
  <c r="AN101" i="4"/>
  <c r="CI101" i="4" s="1"/>
  <c r="AM116" i="4"/>
  <c r="CH116" i="4" s="1"/>
  <c r="AN112" i="4"/>
  <c r="CI112" i="4" s="1"/>
  <c r="AO132" i="4"/>
  <c r="CJ132" i="4" s="1"/>
  <c r="AN105" i="4"/>
  <c r="CI105" i="4" s="1"/>
  <c r="AM95" i="4"/>
  <c r="CH95" i="4" s="1"/>
  <c r="AO123" i="4"/>
  <c r="CJ123" i="4" s="1"/>
  <c r="AO141" i="4"/>
  <c r="CJ141" i="4" s="1"/>
  <c r="BD101" i="4"/>
  <c r="BF106" i="4"/>
  <c r="BF120" i="4"/>
  <c r="BE147" i="4"/>
  <c r="BE145" i="4"/>
  <c r="AN113" i="4"/>
  <c r="CI113" i="4" s="1"/>
  <c r="AL128" i="4"/>
  <c r="CG128" i="4" s="1"/>
  <c r="AM110" i="4"/>
  <c r="CH110" i="4" s="1"/>
  <c r="AM107" i="4"/>
  <c r="CH107" i="4" s="1"/>
  <c r="AM148" i="4"/>
  <c r="CH148" i="4" s="1"/>
  <c r="AO144" i="4"/>
  <c r="CJ144" i="4" s="1"/>
  <c r="AO143" i="4"/>
  <c r="CJ143" i="4" s="1"/>
  <c r="AL113" i="4"/>
  <c r="CG113" i="4" s="1"/>
  <c r="AL118" i="4"/>
  <c r="AL96" i="4"/>
  <c r="CG96" i="4" s="1"/>
  <c r="AO121" i="4"/>
  <c r="CJ121" i="4" s="1"/>
  <c r="BD94" i="4"/>
  <c r="BF103" i="4"/>
  <c r="BF108" i="4"/>
  <c r="BD112" i="4"/>
  <c r="BE135" i="4"/>
  <c r="BH137" i="4"/>
  <c r="AO140" i="4"/>
  <c r="CJ140" i="4" s="1"/>
  <c r="AL120" i="4"/>
  <c r="CG120" i="4" s="1"/>
  <c r="AL123" i="4"/>
  <c r="CG123" i="4" s="1"/>
  <c r="AN137" i="4"/>
  <c r="CI137" i="4" s="1"/>
  <c r="AN131" i="4"/>
  <c r="CI131" i="4" s="1"/>
  <c r="AO120" i="4"/>
  <c r="CJ120" i="4" s="1"/>
  <c r="AO133" i="4"/>
  <c r="CJ133" i="4" s="1"/>
  <c r="AP144" i="4"/>
  <c r="CK144" i="4" s="1"/>
  <c r="AM133" i="4"/>
  <c r="CH133" i="4" s="1"/>
  <c r="AO131" i="4"/>
  <c r="CJ131" i="4" s="1"/>
  <c r="AN135" i="4"/>
  <c r="CI135" i="4" s="1"/>
  <c r="BD100" i="4"/>
  <c r="BD110" i="4"/>
  <c r="BD114" i="4"/>
  <c r="BF141" i="4"/>
  <c r="BE131" i="4"/>
  <c r="BG133" i="4"/>
  <c r="BG134" i="4"/>
  <c r="AO147" i="4"/>
  <c r="CJ147" i="4" s="1"/>
  <c r="AL99" i="4"/>
  <c r="CG99" i="4" s="1"/>
  <c r="CF99" i="4" s="1"/>
  <c r="AP142" i="4"/>
  <c r="CK142" i="4" s="1"/>
  <c r="AN125" i="4"/>
  <c r="CI125" i="4" s="1"/>
  <c r="AM118" i="4"/>
  <c r="CH118" i="4" s="1"/>
  <c r="AN132" i="4"/>
  <c r="CI132" i="4" s="1"/>
  <c r="AN133" i="4"/>
  <c r="CI133" i="4" s="1"/>
  <c r="AN130" i="4"/>
  <c r="CI130" i="4" s="1"/>
  <c r="AN111" i="4"/>
  <c r="CI111" i="4" s="1"/>
  <c r="BE93" i="4"/>
  <c r="BF102" i="4"/>
  <c r="BF104" i="4"/>
  <c r="BE103" i="4"/>
  <c r="BD132" i="4"/>
  <c r="BG124" i="4"/>
  <c r="BE130" i="4"/>
  <c r="BG147" i="4"/>
  <c r="BG132" i="4"/>
  <c r="AN144" i="4"/>
  <c r="CI144" i="4" s="1"/>
  <c r="AN128" i="4"/>
  <c r="CI128" i="4" s="1"/>
  <c r="AL133" i="4"/>
  <c r="CG133" i="4" s="1"/>
  <c r="AM117" i="4"/>
  <c r="CH117" i="4" s="1"/>
  <c r="AP147" i="4"/>
  <c r="CK147" i="4" s="1"/>
  <c r="AL115" i="4"/>
  <c r="CG115" i="4" s="1"/>
  <c r="AP146" i="4"/>
  <c r="CK146" i="4" s="1"/>
  <c r="AM111" i="4"/>
  <c r="CH111" i="4" s="1"/>
  <c r="AN126" i="4"/>
  <c r="CI126" i="4" s="1"/>
  <c r="BD95" i="4"/>
  <c r="BE95" i="4"/>
  <c r="BD106" i="4"/>
  <c r="BE117" i="4"/>
  <c r="BD137" i="4"/>
  <c r="BH141" i="4"/>
  <c r="BF144" i="4"/>
  <c r="BH142" i="4"/>
  <c r="AO46" i="4"/>
  <c r="CJ46" i="4" s="1"/>
  <c r="BG119" i="4"/>
  <c r="BG138" i="4"/>
  <c r="BF142" i="4"/>
  <c r="BE143" i="4"/>
  <c r="BF146" i="4"/>
  <c r="BG146" i="4"/>
  <c r="BF135" i="4"/>
  <c r="BE140" i="4"/>
  <c r="BE138" i="4"/>
  <c r="AL32" i="4"/>
  <c r="CG32" i="4" s="1"/>
  <c r="AM26" i="4"/>
  <c r="CH26" i="4" s="1"/>
  <c r="AL136" i="4"/>
  <c r="CG136" i="4" s="1"/>
  <c r="AN127" i="4"/>
  <c r="CI127" i="4" s="1"/>
  <c r="AM108" i="4"/>
  <c r="CH108" i="4" s="1"/>
  <c r="AL95" i="4"/>
  <c r="AM93" i="4"/>
  <c r="CH93" i="4" s="1"/>
  <c r="AL114" i="4"/>
  <c r="CG114" i="4" s="1"/>
  <c r="BE96" i="4"/>
  <c r="BF112" i="4"/>
  <c r="BE102" i="4"/>
  <c r="BE97" i="4"/>
  <c r="BE104" i="4"/>
  <c r="BE106" i="4"/>
  <c r="BD107" i="4"/>
  <c r="BD119" i="4"/>
  <c r="BD108" i="4"/>
  <c r="BG126" i="4"/>
  <c r="BD116" i="4"/>
  <c r="BE119" i="4"/>
  <c r="BF113" i="4"/>
  <c r="BF125" i="4"/>
  <c r="BG120" i="4"/>
  <c r="BE144" i="4"/>
  <c r="BE122" i="4"/>
  <c r="BF147" i="4"/>
  <c r="BH138" i="4"/>
  <c r="BG135" i="4"/>
  <c r="BD148" i="4"/>
  <c r="BH147" i="4"/>
  <c r="BG145" i="4"/>
  <c r="BG140" i="4"/>
  <c r="BG136" i="4"/>
  <c r="AM128" i="4"/>
  <c r="CH128" i="4" s="1"/>
  <c r="AL148" i="4"/>
  <c r="AL111" i="4"/>
  <c r="CG111" i="4" s="1"/>
  <c r="AO136" i="4"/>
  <c r="CJ136" i="4" s="1"/>
  <c r="BD105" i="4"/>
  <c r="BE121" i="4"/>
  <c r="BF107" i="4"/>
  <c r="BF101" i="4"/>
  <c r="BD109" i="4"/>
  <c r="BF109" i="4"/>
  <c r="BE111" i="4"/>
  <c r="BF121" i="4"/>
  <c r="BD113" i="4"/>
  <c r="BF139" i="4"/>
  <c r="BF117" i="4"/>
  <c r="BD120" i="4"/>
  <c r="BD115" i="4"/>
  <c r="BD131" i="4"/>
  <c r="BG122" i="4"/>
  <c r="BD124" i="4"/>
  <c r="BE124" i="4"/>
  <c r="BF122" i="4"/>
  <c r="BE139" i="4"/>
  <c r="BE137" i="4"/>
  <c r="BD136" i="4"/>
  <c r="BE148" i="4"/>
  <c r="BD146" i="4"/>
  <c r="BD141" i="4"/>
  <c r="BF138" i="4"/>
  <c r="AM96" i="4"/>
  <c r="CH96" i="4" s="1"/>
  <c r="AO126" i="4"/>
  <c r="CJ126" i="4" s="1"/>
  <c r="AM112" i="4"/>
  <c r="CH112" i="4" s="1"/>
  <c r="AO146" i="4"/>
  <c r="CJ146" i="4" s="1"/>
  <c r="BE114" i="4"/>
  <c r="BE134" i="4"/>
  <c r="BF116" i="4"/>
  <c r="BF105" i="4"/>
  <c r="BF115" i="4"/>
  <c r="BD111" i="4"/>
  <c r="BD118" i="4"/>
  <c r="BG123" i="4"/>
  <c r="BF114" i="4"/>
  <c r="BE94" i="4"/>
  <c r="BC94" i="4" s="1"/>
  <c r="BD125" i="4"/>
  <c r="BG121" i="4"/>
  <c r="BE118" i="4"/>
  <c r="BH143" i="4"/>
  <c r="BE123" i="4"/>
  <c r="BD126" i="4"/>
  <c r="BE126" i="4"/>
  <c r="BF124" i="4"/>
  <c r="BG141" i="4"/>
  <c r="BG139" i="4"/>
  <c r="BF137" i="4"/>
  <c r="BE136" i="4"/>
  <c r="BF148" i="4"/>
  <c r="BF143" i="4"/>
  <c r="BH140" i="4"/>
  <c r="AO142" i="4"/>
  <c r="CJ142" i="4" s="1"/>
  <c r="AP139" i="4"/>
  <c r="CK139" i="4" s="1"/>
  <c r="AN136" i="4"/>
  <c r="CI136" i="4" s="1"/>
  <c r="AL135" i="4"/>
  <c r="CG135" i="4" s="1"/>
  <c r="AO148" i="4"/>
  <c r="CJ148" i="4" s="1"/>
  <c r="AM131" i="4"/>
  <c r="CH131" i="4" s="1"/>
  <c r="AM109" i="4"/>
  <c r="CH109" i="4" s="1"/>
  <c r="AP138" i="4"/>
  <c r="CK138" i="4" s="1"/>
  <c r="AN106" i="4"/>
  <c r="CI106" i="4" s="1"/>
  <c r="BD129" i="4"/>
  <c r="BD97" i="4"/>
  <c r="BE99" i="4"/>
  <c r="BE108" i="4"/>
  <c r="BG128" i="4"/>
  <c r="BE127" i="4"/>
  <c r="BD121" i="4"/>
  <c r="BD127" i="4"/>
  <c r="BD117" i="4"/>
  <c r="BE98" i="4"/>
  <c r="BF131" i="4"/>
  <c r="BE125" i="4"/>
  <c r="BF119" i="4"/>
  <c r="BF110" i="4"/>
  <c r="BG125" i="4"/>
  <c r="BD128" i="4"/>
  <c r="BE128" i="4"/>
  <c r="BF126" i="4"/>
  <c r="BD142" i="4"/>
  <c r="BD140" i="4"/>
  <c r="BH139" i="4"/>
  <c r="BG137" i="4"/>
  <c r="BF132" i="4"/>
  <c r="BH145" i="4"/>
  <c r="BE141" i="4"/>
  <c r="AL134" i="4"/>
  <c r="AM146" i="4"/>
  <c r="CH146" i="4" s="1"/>
  <c r="AL112" i="4"/>
  <c r="CG112" i="4" s="1"/>
  <c r="BD98" i="4"/>
  <c r="BE116" i="4"/>
  <c r="BD104" i="4"/>
  <c r="BD93" i="4"/>
  <c r="BG130" i="4"/>
  <c r="BG131" i="4"/>
  <c r="BE109" i="4"/>
  <c r="BD133" i="4"/>
  <c r="BD139" i="4"/>
  <c r="BE105" i="4"/>
  <c r="BF133" i="4"/>
  <c r="BE132" i="4"/>
  <c r="BD122" i="4"/>
  <c r="BE115" i="4"/>
  <c r="BD134" i="4"/>
  <c r="BE142" i="4"/>
  <c r="BD135" i="4"/>
  <c r="BF130" i="4"/>
  <c r="BH146" i="4"/>
  <c r="BH144" i="4"/>
  <c r="BG142" i="4"/>
  <c r="BF140" i="4"/>
  <c r="BF136" i="4"/>
  <c r="BG148" i="4"/>
  <c r="AO40" i="4"/>
  <c r="CJ40" i="4" s="1"/>
  <c r="AM41" i="4"/>
  <c r="CH41" i="4" s="1"/>
  <c r="AM44" i="4"/>
  <c r="CH44" i="4" s="1"/>
  <c r="AM33" i="4"/>
  <c r="CH33" i="4" s="1"/>
  <c r="BD44" i="4"/>
  <c r="AL29" i="4"/>
  <c r="CG29" i="4" s="1"/>
  <c r="AL21" i="4"/>
  <c r="CG21" i="4" s="1"/>
  <c r="AL40" i="4"/>
  <c r="CG40" i="4" s="1"/>
  <c r="AL36" i="4"/>
  <c r="CG36" i="4" s="1"/>
  <c r="BD29" i="4"/>
  <c r="AM42" i="4"/>
  <c r="CH42" i="4" s="1"/>
  <c r="AN31" i="4"/>
  <c r="CI31" i="4" s="1"/>
  <c r="AL28" i="4"/>
  <c r="CG28" i="4" s="1"/>
  <c r="AO44" i="4"/>
  <c r="CJ44" i="4" s="1"/>
  <c r="BD36" i="4"/>
  <c r="AL30" i="4"/>
  <c r="CG30" i="4" s="1"/>
  <c r="AM29" i="4"/>
  <c r="CH29" i="4" s="1"/>
  <c r="AM28" i="4"/>
  <c r="CH28" i="4" s="1"/>
  <c r="AN30" i="4"/>
  <c r="CI30" i="4" s="1"/>
  <c r="BE22" i="4"/>
  <c r="AL43" i="4"/>
  <c r="CG43" i="4" s="1"/>
  <c r="AL44" i="4"/>
  <c r="CG44" i="4" s="1"/>
  <c r="AL41" i="4"/>
  <c r="CG41" i="4" s="1"/>
  <c r="AL39" i="4"/>
  <c r="CG39" i="4" s="1"/>
  <c r="BG41" i="4"/>
  <c r="AL45" i="4"/>
  <c r="CG45" i="4" s="1"/>
  <c r="AN41" i="4"/>
  <c r="CI41" i="4" s="1"/>
  <c r="AN29" i="4"/>
  <c r="CI29" i="4" s="1"/>
  <c r="BD24" i="4"/>
  <c r="BF38" i="4"/>
  <c r="AM43" i="4"/>
  <c r="CH43" i="4" s="1"/>
  <c r="AM23" i="4"/>
  <c r="CH23" i="4" s="1"/>
  <c r="AN28" i="4"/>
  <c r="CI28" i="4" s="1"/>
  <c r="AO43" i="4"/>
  <c r="CJ43" i="4" s="1"/>
  <c r="BE36" i="4"/>
  <c r="BD42" i="4"/>
  <c r="BD27" i="4"/>
  <c r="AM20" i="4"/>
  <c r="CH20" i="4" s="1"/>
  <c r="AL25" i="4"/>
  <c r="CG25" i="4" s="1"/>
  <c r="AM35" i="4"/>
  <c r="CH35" i="4" s="1"/>
  <c r="BE21" i="4"/>
  <c r="BD30" i="4"/>
  <c r="AN40" i="4"/>
  <c r="CI40" i="4" s="1"/>
  <c r="AM46" i="4"/>
  <c r="CH46" i="4" s="1"/>
  <c r="AO41" i="4"/>
  <c r="CJ41" i="4" s="1"/>
  <c r="BG44" i="4"/>
  <c r="BE26" i="4"/>
  <c r="AL33" i="4"/>
  <c r="CG33" i="4" s="1"/>
  <c r="AM31" i="4"/>
  <c r="CH31" i="4" s="1"/>
  <c r="AN46" i="4"/>
  <c r="CI46" i="4" s="1"/>
  <c r="AM34" i="4"/>
  <c r="CH34" i="4" s="1"/>
  <c r="BF29" i="4"/>
  <c r="BD21" i="4"/>
  <c r="AO42" i="4"/>
  <c r="CJ42" i="4" s="1"/>
  <c r="BE28" i="4"/>
  <c r="BD46" i="4"/>
  <c r="BE39" i="4"/>
  <c r="AL34" i="4"/>
  <c r="CG34" i="4" s="1"/>
  <c r="AN35" i="4"/>
  <c r="CI35" i="4" s="1"/>
  <c r="AM22" i="4"/>
  <c r="CH22" i="4" s="1"/>
  <c r="AN36" i="4"/>
  <c r="CI36" i="4" s="1"/>
  <c r="AL27" i="4"/>
  <c r="CG27" i="4" s="1"/>
  <c r="AN44" i="4"/>
  <c r="CI44" i="4" s="1"/>
  <c r="BG40" i="4"/>
  <c r="BD20" i="4"/>
  <c r="BD33" i="4"/>
  <c r="BD23" i="4"/>
  <c r="BD26" i="4"/>
  <c r="BE30" i="4"/>
  <c r="BF42" i="4"/>
  <c r="AL20" i="4"/>
  <c r="CG20" i="4" s="1"/>
  <c r="AL31" i="4"/>
  <c r="CG31" i="4" s="1"/>
  <c r="AM40" i="4"/>
  <c r="CH40" i="4" s="1"/>
  <c r="AN39" i="4"/>
  <c r="CI39" i="4" s="1"/>
  <c r="AL22" i="4"/>
  <c r="CG22" i="4" s="1"/>
  <c r="AM37" i="4"/>
  <c r="CH37" i="4" s="1"/>
  <c r="AM39" i="4"/>
  <c r="CH39" i="4" s="1"/>
  <c r="AM38" i="4"/>
  <c r="CH38" i="4" s="1"/>
  <c r="AM36" i="4"/>
  <c r="CH36" i="4" s="1"/>
  <c r="AM24" i="4"/>
  <c r="CH24" i="4" s="1"/>
  <c r="BE29" i="4"/>
  <c r="BF31" i="4"/>
  <c r="BE20" i="4"/>
  <c r="BD28" i="4"/>
  <c r="BF36" i="4"/>
  <c r="BF30" i="4"/>
  <c r="BE41" i="4"/>
  <c r="AN34" i="4"/>
  <c r="CI34" i="4" s="1"/>
  <c r="AM45" i="4"/>
  <c r="CH45" i="4" s="1"/>
  <c r="AN32" i="4"/>
  <c r="CI32" i="4" s="1"/>
  <c r="AL46" i="4"/>
  <c r="CG46" i="4" s="1"/>
  <c r="AM32" i="4"/>
  <c r="CH32" i="4" s="1"/>
  <c r="AN33" i="4"/>
  <c r="CI33" i="4" s="1"/>
  <c r="BE25" i="4"/>
  <c r="BD37" i="4"/>
  <c r="BE24" i="4"/>
  <c r="BE31" i="4"/>
  <c r="BD43" i="4"/>
  <c r="BE35" i="4"/>
  <c r="BE43" i="4"/>
  <c r="AL37" i="4"/>
  <c r="AL24" i="4"/>
  <c r="CG24" i="4" s="1"/>
  <c r="AN45" i="4"/>
  <c r="CI45" i="4" s="1"/>
  <c r="AN43" i="4"/>
  <c r="CI43" i="4" s="1"/>
  <c r="BD34" i="4"/>
  <c r="BF35" i="4"/>
  <c r="BD31" i="4"/>
  <c r="BG42" i="4"/>
  <c r="BD35" i="4"/>
  <c r="BE42" i="4"/>
  <c r="BF43" i="4"/>
  <c r="AL42" i="4"/>
  <c r="AM30" i="4"/>
  <c r="CH30" i="4" s="1"/>
  <c r="AL35" i="4"/>
  <c r="AN42" i="4"/>
  <c r="CI42" i="4" s="1"/>
  <c r="AL23" i="4"/>
  <c r="CG23" i="4" s="1"/>
  <c r="AL26" i="4"/>
  <c r="AM27" i="4"/>
  <c r="CH27" i="4" s="1"/>
  <c r="AO45" i="4"/>
  <c r="CJ45" i="4" s="1"/>
  <c r="AL38" i="4"/>
  <c r="CG38" i="4" s="1"/>
  <c r="AM25" i="4"/>
  <c r="CH25" i="4" s="1"/>
  <c r="BE27" i="4"/>
  <c r="BE23" i="4"/>
  <c r="BF37" i="4"/>
  <c r="BD45" i="4"/>
  <c r="BD41" i="4"/>
  <c r="BE44" i="4"/>
  <c r="BD22" i="4"/>
  <c r="BF33" i="4"/>
  <c r="BD25" i="4"/>
  <c r="BF46" i="4"/>
  <c r="BE45" i="4"/>
  <c r="AM21" i="4"/>
  <c r="CH21" i="4" s="1"/>
  <c r="BG45" i="4"/>
  <c r="BE37" i="4"/>
  <c r="BF32" i="4"/>
  <c r="BE34" i="4"/>
  <c r="BF34" i="4"/>
  <c r="BF28" i="4"/>
  <c r="BD40" i="4"/>
  <c r="BD32" i="4"/>
  <c r="BF40" i="4"/>
  <c r="BF41" i="4"/>
  <c r="AN38" i="4"/>
  <c r="CI38" i="4" s="1"/>
  <c r="BE32" i="4"/>
  <c r="BD39" i="4"/>
  <c r="BE38" i="4"/>
  <c r="BF39" i="4"/>
  <c r="BD38" i="4"/>
  <c r="BE33" i="4"/>
  <c r="BG43" i="4"/>
  <c r="BE40" i="4"/>
  <c r="BF44" i="4"/>
  <c r="BF45" i="4"/>
  <c r="BC51" i="4"/>
  <c r="BC49" i="4"/>
  <c r="BC12" i="4"/>
  <c r="BC8" i="4"/>
  <c r="BC48" i="4"/>
  <c r="BC11" i="4"/>
  <c r="BC9" i="4"/>
  <c r="BC59" i="4"/>
  <c r="BC89" i="4"/>
  <c r="BC10" i="4"/>
  <c r="BC13" i="4"/>
  <c r="BC83" i="4"/>
  <c r="BC68" i="4"/>
  <c r="BC63" i="4"/>
  <c r="BC58" i="4"/>
  <c r="BC56" i="4"/>
  <c r="BC57" i="4"/>
  <c r="BC70" i="4"/>
  <c r="BC88" i="4"/>
  <c r="BC17" i="4"/>
  <c r="BC73" i="4"/>
  <c r="BC52" i="4"/>
  <c r="BC65" i="4"/>
  <c r="BC90" i="4"/>
  <c r="BC78" i="4"/>
  <c r="BC76" i="4"/>
  <c r="BC69" i="4"/>
  <c r="BC16" i="4"/>
  <c r="CG11" i="4"/>
  <c r="CF11" i="4" s="1"/>
  <c r="AK11" i="4"/>
  <c r="AK84" i="4"/>
  <c r="CG84" i="4"/>
  <c r="CF84" i="4" s="1"/>
  <c r="AK76" i="4"/>
  <c r="CG76" i="4"/>
  <c r="CF76" i="4" s="1"/>
  <c r="BC50" i="4"/>
  <c r="BC64" i="4"/>
  <c r="BC82" i="4"/>
  <c r="BC74" i="4"/>
  <c r="CG145" i="4"/>
  <c r="CG141" i="4"/>
  <c r="AK63" i="4"/>
  <c r="CG63" i="4"/>
  <c r="CF63" i="4" s="1"/>
  <c r="BE6" i="4"/>
  <c r="BE4" i="4"/>
  <c r="BD4" i="4"/>
  <c r="BD6" i="4"/>
  <c r="BD5" i="4"/>
  <c r="BE5" i="4"/>
  <c r="AM5" i="4"/>
  <c r="CH5" i="4" s="1"/>
  <c r="AL6" i="4"/>
  <c r="AM6" i="4"/>
  <c r="CH6" i="4" s="1"/>
  <c r="AL5" i="4"/>
  <c r="AM4" i="4"/>
  <c r="CH4" i="4" s="1"/>
  <c r="AL4" i="4"/>
  <c r="AK81" i="4"/>
  <c r="CG81" i="4"/>
  <c r="CF81" i="4" s="1"/>
  <c r="CG56" i="4"/>
  <c r="CF56" i="4" s="1"/>
  <c r="AK56" i="4"/>
  <c r="CG87" i="4"/>
  <c r="CF87" i="4" s="1"/>
  <c r="AK87" i="4"/>
  <c r="AK75" i="4"/>
  <c r="CG75" i="4"/>
  <c r="CF75" i="4" s="1"/>
  <c r="CG77" i="4"/>
  <c r="CF77" i="4" s="1"/>
  <c r="AK77" i="4"/>
  <c r="CG61" i="4"/>
  <c r="CF61" i="4" s="1"/>
  <c r="AK61" i="4"/>
  <c r="CG85" i="4"/>
  <c r="CF85" i="4" s="1"/>
  <c r="AK85" i="4"/>
  <c r="AK73" i="4"/>
  <c r="CG73" i="4"/>
  <c r="CF73" i="4" s="1"/>
  <c r="CG52" i="4"/>
  <c r="CF52" i="4" s="1"/>
  <c r="AK52" i="4"/>
  <c r="BC85" i="4"/>
  <c r="BC81" i="4"/>
  <c r="BC53" i="4"/>
  <c r="BC67" i="4"/>
  <c r="BC75" i="4"/>
  <c r="CG106" i="4"/>
  <c r="CG15" i="4"/>
  <c r="CF15" i="4" s="1"/>
  <c r="AK15" i="4"/>
  <c r="AK10" i="4"/>
  <c r="CG10" i="4"/>
  <c r="CF10" i="4" s="1"/>
  <c r="CG12" i="4"/>
  <c r="CF12" i="4" s="1"/>
  <c r="AK12" i="4"/>
  <c r="AK59" i="4"/>
  <c r="CG59" i="4"/>
  <c r="CF59" i="4" s="1"/>
  <c r="CG82" i="4"/>
  <c r="CF82" i="4" s="1"/>
  <c r="AK82" i="4"/>
  <c r="AK65" i="4"/>
  <c r="CG65" i="4"/>
  <c r="CF65" i="4" s="1"/>
  <c r="AK86" i="4"/>
  <c r="CG86" i="4"/>
  <c r="CF86" i="4" s="1"/>
  <c r="CG53" i="4"/>
  <c r="CF53" i="4" s="1"/>
  <c r="AK53" i="4"/>
  <c r="AK51" i="4"/>
  <c r="CG51" i="4"/>
  <c r="CF51" i="4" s="1"/>
  <c r="BC86" i="4"/>
  <c r="BC87" i="4"/>
  <c r="AK17" i="4"/>
  <c r="CG17" i="4"/>
  <c r="CF17" i="4" s="1"/>
  <c r="AK16" i="4"/>
  <c r="CG16" i="4"/>
  <c r="CF16" i="4" s="1"/>
  <c r="AK13" i="4"/>
  <c r="CG13" i="4"/>
  <c r="CF13" i="4" s="1"/>
  <c r="CG72" i="4"/>
  <c r="CF72" i="4" s="1"/>
  <c r="AK72" i="4"/>
  <c r="CG107" i="4"/>
  <c r="CG62" i="4"/>
  <c r="CF62" i="4" s="1"/>
  <c r="AK62" i="4"/>
  <c r="AK70" i="4"/>
  <c r="CG70" i="4"/>
  <c r="CF70" i="4" s="1"/>
  <c r="BC60" i="4"/>
  <c r="CG100" i="4"/>
  <c r="AK9" i="4"/>
  <c r="CG9" i="4"/>
  <c r="CF9" i="4" s="1"/>
  <c r="CG14" i="4"/>
  <c r="CF14" i="4" s="1"/>
  <c r="AK14" i="4"/>
  <c r="BC14" i="4"/>
  <c r="BC18" i="4"/>
  <c r="AK57" i="4"/>
  <c r="CG57" i="4"/>
  <c r="CF57" i="4" s="1"/>
  <c r="CG50" i="4"/>
  <c r="CF50" i="4" s="1"/>
  <c r="AK50" i="4"/>
  <c r="AK60" i="4"/>
  <c r="CG60" i="4"/>
  <c r="CF60" i="4" s="1"/>
  <c r="CG90" i="4"/>
  <c r="CF90" i="4" s="1"/>
  <c r="AK90" i="4"/>
  <c r="AK71" i="4"/>
  <c r="CG71" i="4"/>
  <c r="CF71" i="4" s="1"/>
  <c r="BC62" i="4"/>
  <c r="BC55" i="4"/>
  <c r="BC84" i="4"/>
  <c r="BC79" i="4"/>
  <c r="BC77" i="4"/>
  <c r="CG139" i="4"/>
  <c r="CG124" i="4"/>
  <c r="CG127" i="4"/>
  <c r="CG18" i="4"/>
  <c r="CF18" i="4" s="1"/>
  <c r="AK18" i="4"/>
  <c r="CG58" i="4"/>
  <c r="CF58" i="4" s="1"/>
  <c r="AK58" i="4"/>
  <c r="CG83" i="4"/>
  <c r="CF83" i="4" s="1"/>
  <c r="AK83" i="4"/>
  <c r="CG48" i="4"/>
  <c r="CF48" i="4" s="1"/>
  <c r="AK48" i="4"/>
  <c r="CG55" i="4"/>
  <c r="CF55" i="4" s="1"/>
  <c r="AK55" i="4"/>
  <c r="CG68" i="4"/>
  <c r="CF68" i="4" s="1"/>
  <c r="AK68" i="4"/>
  <c r="CG67" i="4"/>
  <c r="CF67" i="4" s="1"/>
  <c r="AK67" i="4"/>
  <c r="CG66" i="4"/>
  <c r="CF66" i="4" s="1"/>
  <c r="AK66" i="4"/>
  <c r="BC54" i="4"/>
  <c r="BC80" i="4"/>
  <c r="BC72" i="4"/>
  <c r="BC66" i="4"/>
  <c r="CG144" i="4"/>
  <c r="CG130" i="4"/>
  <c r="CG122" i="4"/>
  <c r="CG104" i="4"/>
  <c r="BC15" i="4"/>
  <c r="CG49" i="4"/>
  <c r="CF49" i="4" s="1"/>
  <c r="AK49" i="4"/>
  <c r="AK89" i="4"/>
  <c r="CG89" i="4"/>
  <c r="CF89" i="4" s="1"/>
  <c r="CG102" i="4"/>
  <c r="CG78" i="4"/>
  <c r="CF78" i="4" s="1"/>
  <c r="AK78" i="4"/>
  <c r="CG79" i="4"/>
  <c r="CF79" i="4" s="1"/>
  <c r="AK79" i="4"/>
  <c r="CG80" i="4"/>
  <c r="CF80" i="4" s="1"/>
  <c r="AK80" i="4"/>
  <c r="AK64" i="4"/>
  <c r="CG64" i="4"/>
  <c r="CF64" i="4" s="1"/>
  <c r="AK74" i="4"/>
  <c r="CG74" i="4"/>
  <c r="CF74" i="4" s="1"/>
  <c r="AK54" i="4"/>
  <c r="CG54" i="4"/>
  <c r="CF54" i="4" s="1"/>
  <c r="CG69" i="4"/>
  <c r="CF69" i="4" s="1"/>
  <c r="AK69" i="4"/>
  <c r="AK91" i="4"/>
  <c r="CG91" i="4"/>
  <c r="CF91" i="4" s="1"/>
  <c r="AK88" i="4"/>
  <c r="CG88" i="4"/>
  <c r="CF88" i="4" s="1"/>
  <c r="BC91" i="4"/>
  <c r="BC71" i="4"/>
  <c r="BC61" i="4"/>
  <c r="CG129" i="4"/>
  <c r="CG119" i="4"/>
  <c r="AK8" i="4"/>
  <c r="CG8" i="4"/>
  <c r="CF8" i="4" s="1"/>
  <c r="BO84" i="3"/>
  <c r="BO69" i="3"/>
  <c r="BO49" i="3"/>
  <c r="BO22" i="3"/>
  <c r="BO97" i="3"/>
  <c r="BO62" i="3"/>
  <c r="BO52" i="3"/>
  <c r="BO123" i="3"/>
  <c r="BO81" i="3"/>
  <c r="BO59" i="3"/>
  <c r="BO60" i="3"/>
  <c r="BO71" i="3"/>
  <c r="BO11" i="3"/>
  <c r="BO145" i="3"/>
  <c r="BO98" i="3"/>
  <c r="BO42" i="3"/>
  <c r="BO109" i="3"/>
  <c r="BO147" i="3"/>
  <c r="BO39" i="3"/>
  <c r="BO74" i="3"/>
  <c r="BO105" i="3"/>
  <c r="BO136" i="3"/>
  <c r="BO45" i="3"/>
  <c r="BO89" i="3"/>
  <c r="BO33" i="3"/>
  <c r="BO46" i="3"/>
  <c r="BO119" i="3"/>
  <c r="BO132" i="3"/>
  <c r="BO86" i="3"/>
  <c r="BO95" i="3"/>
  <c r="BO131" i="3"/>
  <c r="BO23" i="3"/>
  <c r="BO24" i="3"/>
  <c r="BO13" i="3"/>
  <c r="BO139" i="3"/>
  <c r="BO65" i="3"/>
  <c r="BO76" i="3"/>
  <c r="BO16" i="3"/>
  <c r="BO107" i="3"/>
  <c r="BO144" i="3"/>
  <c r="BO14" i="3"/>
  <c r="BO90" i="3"/>
  <c r="BO67" i="3"/>
  <c r="BO44" i="3"/>
  <c r="BO96" i="3"/>
  <c r="BO36" i="3"/>
  <c r="BO15" i="3"/>
  <c r="BO30" i="3"/>
  <c r="BO101" i="3"/>
  <c r="BO43" i="3"/>
  <c r="BO82" i="3"/>
  <c r="BO138" i="3"/>
  <c r="BO85" i="3"/>
  <c r="BO78" i="3"/>
  <c r="BO41" i="3"/>
  <c r="BO115" i="3"/>
  <c r="BO79" i="3"/>
  <c r="BO141" i="3"/>
  <c r="BO20" i="3"/>
  <c r="BO10" i="3"/>
  <c r="BO93" i="3"/>
  <c r="BO126" i="3"/>
  <c r="BO114" i="3"/>
  <c r="BO29" i="3"/>
  <c r="BO61" i="3"/>
  <c r="BO12" i="3"/>
  <c r="BO143" i="3"/>
  <c r="BO130" i="3"/>
  <c r="BO48" i="3"/>
  <c r="BO50" i="3"/>
  <c r="BO103" i="3"/>
  <c r="BO134" i="3"/>
  <c r="BO135" i="3"/>
  <c r="BO77" i="3"/>
  <c r="BO21" i="3"/>
  <c r="BO8" i="3"/>
  <c r="BO113" i="3"/>
  <c r="BO57" i="3"/>
  <c r="BO120" i="3"/>
  <c r="BO28" i="3"/>
  <c r="BO112" i="3"/>
  <c r="BO146" i="3"/>
  <c r="BO66" i="3"/>
  <c r="BO122" i="3"/>
  <c r="BO125" i="3"/>
  <c r="BO26" i="3"/>
  <c r="BO72" i="3"/>
  <c r="BO35" i="3"/>
  <c r="BO140" i="3"/>
  <c r="BO58" i="3"/>
  <c r="BO38" i="3"/>
  <c r="BO31" i="3"/>
  <c r="BO99" i="3"/>
  <c r="BO94" i="3"/>
  <c r="BO137" i="3"/>
  <c r="BO83" i="3"/>
  <c r="BO18" i="3"/>
  <c r="BO128" i="3"/>
  <c r="BO63" i="3"/>
  <c r="BO91" i="3"/>
  <c r="BO70" i="3"/>
  <c r="BO118" i="3"/>
  <c r="BO25" i="3"/>
  <c r="BO55" i="3"/>
  <c r="BO100" i="3"/>
  <c r="BO27" i="3"/>
  <c r="BO108" i="3"/>
  <c r="BO87" i="3"/>
  <c r="BO64" i="3"/>
  <c r="BO116" i="3"/>
  <c r="BO32" i="3"/>
  <c r="BO54" i="3"/>
  <c r="BO104" i="3"/>
  <c r="BO127" i="3"/>
  <c r="BO73" i="3"/>
  <c r="BO34" i="3"/>
  <c r="BO51" i="3"/>
  <c r="BO102" i="3"/>
  <c r="BO37" i="3"/>
  <c r="BO124" i="3"/>
  <c r="BO17" i="3"/>
  <c r="BO56" i="3"/>
  <c r="BO111" i="3"/>
  <c r="BO40" i="3"/>
  <c r="BO148" i="3"/>
  <c r="BO75" i="3"/>
  <c r="BO142" i="3"/>
  <c r="BO68" i="3"/>
  <c r="BO80" i="3"/>
  <c r="BO106" i="3"/>
  <c r="BO53" i="3"/>
  <c r="BO133" i="3"/>
  <c r="BO117" i="3"/>
  <c r="BO121" i="3"/>
  <c r="BO88" i="3"/>
  <c r="BO129" i="3"/>
  <c r="BO110" i="3"/>
  <c r="BO9" i="3"/>
  <c r="AK94" i="4" l="1"/>
  <c r="BC23" i="4"/>
  <c r="BC99" i="4"/>
  <c r="BC100" i="4"/>
  <c r="AK100" i="4"/>
  <c r="CF104" i="4"/>
  <c r="AK102" i="4"/>
  <c r="CF124" i="4"/>
  <c r="AK127" i="4"/>
  <c r="CF103" i="4"/>
  <c r="AK103" i="4"/>
  <c r="AK104" i="4"/>
  <c r="BC101" i="4"/>
  <c r="CF114" i="4"/>
  <c r="AK134" i="4"/>
  <c r="AK118" i="4"/>
  <c r="CF101" i="4"/>
  <c r="CG118" i="4"/>
  <c r="CF118" i="4" s="1"/>
  <c r="CF98" i="4"/>
  <c r="AK129" i="4"/>
  <c r="AK98" i="4"/>
  <c r="CF129" i="4"/>
  <c r="AK101" i="4"/>
  <c r="AK132" i="4"/>
  <c r="CF113" i="4"/>
  <c r="CF132" i="4"/>
  <c r="AK137" i="4"/>
  <c r="AK119" i="4"/>
  <c r="CF102" i="4"/>
  <c r="AK99" i="4"/>
  <c r="AK124" i="4"/>
  <c r="CF100" i="4"/>
  <c r="BC93" i="4"/>
  <c r="CF119" i="4"/>
  <c r="AK105" i="4"/>
  <c r="AK108" i="4"/>
  <c r="CF116" i="4"/>
  <c r="AK116" i="4"/>
  <c r="CF137" i="4"/>
  <c r="CF115" i="4"/>
  <c r="CF112" i="4"/>
  <c r="BC103" i="4"/>
  <c r="BC96" i="4"/>
  <c r="CF105" i="4"/>
  <c r="AK112" i="4"/>
  <c r="CF122" i="4"/>
  <c r="AK114" i="4"/>
  <c r="BC129" i="4"/>
  <c r="AK122" i="4"/>
  <c r="AK113" i="4"/>
  <c r="CF117" i="4"/>
  <c r="CF145" i="4"/>
  <c r="AK145" i="4"/>
  <c r="AK95" i="4"/>
  <c r="AK117" i="4"/>
  <c r="BC144" i="4"/>
  <c r="AK141" i="4"/>
  <c r="CF123" i="4"/>
  <c r="CF140" i="4"/>
  <c r="AK97" i="4"/>
  <c r="AK140" i="4"/>
  <c r="AK123" i="4"/>
  <c r="AK115" i="4"/>
  <c r="CF141" i="4"/>
  <c r="CF130" i="4"/>
  <c r="CF110" i="4"/>
  <c r="AK130" i="4"/>
  <c r="AK110" i="4"/>
  <c r="AK121" i="4"/>
  <c r="CF121" i="4"/>
  <c r="CF135" i="4"/>
  <c r="AK107" i="4"/>
  <c r="CF107" i="4"/>
  <c r="BC141" i="4"/>
  <c r="BC108" i="4"/>
  <c r="CF126" i="4"/>
  <c r="BC95" i="4"/>
  <c r="AK131" i="4"/>
  <c r="AK144" i="4"/>
  <c r="CF131" i="4"/>
  <c r="CF144" i="4"/>
  <c r="BC110" i="4"/>
  <c r="AK126" i="4"/>
  <c r="CF143" i="4"/>
  <c r="AK143" i="4"/>
  <c r="CF111" i="4"/>
  <c r="AK120" i="4"/>
  <c r="CF120" i="4"/>
  <c r="BC112" i="4"/>
  <c r="AK125" i="4"/>
  <c r="CF125" i="4"/>
  <c r="BC106" i="4"/>
  <c r="CF147" i="4"/>
  <c r="CF133" i="4"/>
  <c r="AK133" i="4"/>
  <c r="AK147" i="4"/>
  <c r="BC102" i="4"/>
  <c r="CF108" i="4"/>
  <c r="AK26" i="4"/>
  <c r="BC117" i="4"/>
  <c r="BC133" i="4"/>
  <c r="BC124" i="4"/>
  <c r="BC111" i="4"/>
  <c r="BC128" i="4"/>
  <c r="BC104" i="4"/>
  <c r="AK139" i="4"/>
  <c r="CF106" i="4"/>
  <c r="BC146" i="4"/>
  <c r="BC114" i="4"/>
  <c r="BC148" i="4"/>
  <c r="AK148" i="4"/>
  <c r="CF138" i="4"/>
  <c r="CF96" i="4"/>
  <c r="BC134" i="4"/>
  <c r="AK138" i="4"/>
  <c r="CF127" i="4"/>
  <c r="AK111" i="4"/>
  <c r="CF142" i="4"/>
  <c r="AK142" i="4"/>
  <c r="CG148" i="4"/>
  <c r="CF148" i="4" s="1"/>
  <c r="BC119" i="4"/>
  <c r="BC22" i="4"/>
  <c r="CF139" i="4"/>
  <c r="BC27" i="4"/>
  <c r="BC24" i="4"/>
  <c r="BC135" i="4"/>
  <c r="BC118" i="4"/>
  <c r="BC122" i="4"/>
  <c r="BC138" i="4"/>
  <c r="BC113" i="4"/>
  <c r="BC125" i="4"/>
  <c r="CF136" i="4"/>
  <c r="BC142" i="4"/>
  <c r="BC120" i="4"/>
  <c r="BC107" i="4"/>
  <c r="CG95" i="4"/>
  <c r="CF95" i="4" s="1"/>
  <c r="CG134" i="4"/>
  <c r="CF134" i="4" s="1"/>
  <c r="AK29" i="4"/>
  <c r="AK136" i="4"/>
  <c r="BC121" i="4"/>
  <c r="BC139" i="4"/>
  <c r="AK135" i="4"/>
  <c r="AK96" i="4"/>
  <c r="CF93" i="4"/>
  <c r="AK93" i="4"/>
  <c r="BC143" i="4"/>
  <c r="BC145" i="4"/>
  <c r="BC137" i="4"/>
  <c r="BC132" i="4"/>
  <c r="BC131" i="4"/>
  <c r="BC97" i="4"/>
  <c r="CF29" i="4"/>
  <c r="BC140" i="4"/>
  <c r="BC98" i="4"/>
  <c r="BC105" i="4"/>
  <c r="BC136" i="4"/>
  <c r="BC115" i="4"/>
  <c r="BC147" i="4"/>
  <c r="AK106" i="4"/>
  <c r="CF128" i="4"/>
  <c r="CF109" i="4"/>
  <c r="BC130" i="4"/>
  <c r="BC116" i="4"/>
  <c r="BC127" i="4"/>
  <c r="BC126" i="4"/>
  <c r="BC123" i="4"/>
  <c r="BC109" i="4"/>
  <c r="AK109" i="4"/>
  <c r="CF146" i="4"/>
  <c r="AK146" i="4"/>
  <c r="AK28" i="4"/>
  <c r="CF28" i="4"/>
  <c r="AK128" i="4"/>
  <c r="CF23" i="4"/>
  <c r="BC36" i="4"/>
  <c r="BC46" i="4"/>
  <c r="BC21" i="4"/>
  <c r="CF20" i="4"/>
  <c r="BC35" i="4"/>
  <c r="AK35" i="4"/>
  <c r="BC26" i="4"/>
  <c r="BC29" i="4"/>
  <c r="CG35" i="4"/>
  <c r="CF35" i="4" s="1"/>
  <c r="CF32" i="4"/>
  <c r="AK37" i="4"/>
  <c r="BC28" i="4"/>
  <c r="BC31" i="4"/>
  <c r="AK23" i="4"/>
  <c r="CF46" i="4"/>
  <c r="AK46" i="4"/>
  <c r="CF22" i="4"/>
  <c r="AK32" i="4"/>
  <c r="AK22" i="4"/>
  <c r="AK30" i="4"/>
  <c r="CF40" i="4"/>
  <c r="CF30" i="4"/>
  <c r="AK40" i="4"/>
  <c r="CG37" i="4"/>
  <c r="CF37" i="4" s="1"/>
  <c r="AK33" i="4"/>
  <c r="CF41" i="4"/>
  <c r="AK41" i="4"/>
  <c r="CF39" i="4"/>
  <c r="CF31" i="4"/>
  <c r="AK39" i="4"/>
  <c r="CF27" i="4"/>
  <c r="BC43" i="4"/>
  <c r="BC41" i="4"/>
  <c r="AK27" i="4"/>
  <c r="BC20" i="4"/>
  <c r="CG26" i="4"/>
  <c r="CF26" i="4" s="1"/>
  <c r="CF33" i="4"/>
  <c r="BC42" i="4"/>
  <c r="BC30" i="4"/>
  <c r="AK20" i="4"/>
  <c r="BC25" i="4"/>
  <c r="CF36" i="4"/>
  <c r="CF43" i="4"/>
  <c r="AK45" i="4"/>
  <c r="BC37" i="4"/>
  <c r="CF25" i="4"/>
  <c r="AK36" i="4"/>
  <c r="CF45" i="4"/>
  <c r="AK42" i="4"/>
  <c r="CF44" i="4"/>
  <c r="AK25" i="4"/>
  <c r="AK44" i="4"/>
  <c r="AK24" i="4"/>
  <c r="CF24" i="4"/>
  <c r="CF34" i="4"/>
  <c r="AK34" i="4"/>
  <c r="AK31" i="4"/>
  <c r="CG42" i="4"/>
  <c r="CF42" i="4" s="1"/>
  <c r="AK43" i="4"/>
  <c r="BC44" i="4"/>
  <c r="BC33" i="4"/>
  <c r="BC40" i="4"/>
  <c r="CF21" i="4"/>
  <c r="AK21" i="4"/>
  <c r="BC45" i="4"/>
  <c r="BC39" i="4"/>
  <c r="BC34" i="4"/>
  <c r="BC32" i="4"/>
  <c r="BC38" i="4"/>
  <c r="CF38" i="4"/>
  <c r="AK38" i="4"/>
  <c r="BC4" i="4"/>
  <c r="CG6" i="4"/>
  <c r="CF6" i="4" s="1"/>
  <c r="AK6" i="4"/>
  <c r="BC5" i="4"/>
  <c r="AK4" i="4"/>
  <c r="CG4" i="4"/>
  <c r="CF4" i="4" s="1"/>
  <c r="BC6" i="4"/>
  <c r="CG5" i="4"/>
  <c r="CF5" i="4" s="1"/>
  <c r="AK5" i="4"/>
  <c r="BO5" i="3"/>
  <c r="BO6" i="3"/>
  <c r="BO4" i="3"/>
  <c r="AI63" i="16" l="1"/>
  <c r="F8" i="14" l="1"/>
  <c r="F10" i="14" l="1"/>
  <c r="F9" i="14"/>
  <c r="R29" i="3"/>
  <c r="R86" i="3"/>
  <c r="R73" i="3"/>
  <c r="R32" i="3"/>
  <c r="R79" i="3"/>
  <c r="R74" i="3"/>
  <c r="R70" i="3"/>
  <c r="R69" i="3"/>
  <c r="R28" i="3"/>
  <c r="R68" i="3"/>
  <c r="R42" i="3"/>
  <c r="R72" i="3"/>
  <c r="R41" i="3"/>
  <c r="R36" i="3"/>
  <c r="R27" i="3"/>
  <c r="R83" i="3"/>
  <c r="R76" i="3"/>
  <c r="R34" i="3"/>
  <c r="R85" i="3"/>
  <c r="R82" i="3"/>
  <c r="R40" i="3"/>
  <c r="R84" i="3"/>
  <c r="R44" i="3"/>
  <c r="R78" i="3"/>
  <c r="R33" i="3"/>
  <c r="R46" i="3"/>
  <c r="R37" i="3"/>
  <c r="R45" i="3"/>
  <c r="R80" i="3"/>
  <c r="R43" i="3"/>
  <c r="R30" i="3"/>
  <c r="R67" i="3"/>
  <c r="R71" i="3"/>
  <c r="R75" i="3"/>
  <c r="R31" i="3"/>
  <c r="R81" i="3"/>
  <c r="R77" i="3"/>
  <c r="R38" i="3"/>
  <c r="R39" i="3"/>
  <c r="R35" i="3"/>
  <c r="V79" i="3" l="1"/>
  <c r="V75" i="3"/>
  <c r="V29" i="3"/>
  <c r="V71" i="3"/>
  <c r="V67" i="3"/>
  <c r="V41" i="3"/>
  <c r="V27" i="3"/>
  <c r="X27" i="3" s="1"/>
  <c r="AL4" i="3" s="1"/>
  <c r="V31" i="3"/>
  <c r="V43" i="3"/>
  <c r="V33" i="3"/>
  <c r="V39" i="3"/>
  <c r="V37" i="3"/>
  <c r="V45" i="3"/>
  <c r="V35" i="3"/>
  <c r="V81" i="3"/>
  <c r="V73" i="3"/>
  <c r="V77" i="3"/>
  <c r="V85" i="3"/>
  <c r="V83" i="3"/>
  <c r="V69" i="3"/>
  <c r="X83" i="3" l="1"/>
  <c r="X39" i="3"/>
  <c r="BD53" i="3" s="1"/>
  <c r="X75" i="3"/>
  <c r="X71" i="3"/>
  <c r="X31" i="3"/>
  <c r="AM13" i="3" s="1"/>
  <c r="X35" i="3"/>
  <c r="BF35" i="3" s="1"/>
  <c r="X67" i="3"/>
  <c r="CG4" i="3" s="1"/>
  <c r="X43" i="3"/>
  <c r="BE104" i="3" s="1"/>
  <c r="X79" i="3"/>
  <c r="BD4" i="3"/>
  <c r="AM5" i="3"/>
  <c r="AL5" i="3"/>
  <c r="AM4" i="3"/>
  <c r="AM6" i="3"/>
  <c r="BD5" i="3"/>
  <c r="AL6" i="3"/>
  <c r="BD6" i="3"/>
  <c r="BE5" i="3"/>
  <c r="BE4" i="3"/>
  <c r="BE6" i="3"/>
  <c r="AM87" i="3" l="1"/>
  <c r="BD90" i="3"/>
  <c r="AM51" i="3"/>
  <c r="BE48" i="3"/>
  <c r="AM77" i="3"/>
  <c r="CH77" i="3" s="1"/>
  <c r="BE72" i="3"/>
  <c r="BE80" i="3"/>
  <c r="BD48" i="3"/>
  <c r="BD84" i="3"/>
  <c r="BF78" i="3"/>
  <c r="AL54" i="3"/>
  <c r="CG54" i="3" s="1"/>
  <c r="AN72" i="3"/>
  <c r="CI72" i="3" s="1"/>
  <c r="AO87" i="3"/>
  <c r="CJ87" i="3" s="1"/>
  <c r="BD59" i="3"/>
  <c r="BF82" i="3"/>
  <c r="BE68" i="3"/>
  <c r="BG75" i="3"/>
  <c r="BE58" i="3"/>
  <c r="BF70" i="3"/>
  <c r="AM48" i="3"/>
  <c r="BD82" i="3"/>
  <c r="AN61" i="3"/>
  <c r="CI61" i="3" s="1"/>
  <c r="BF67" i="3"/>
  <c r="BE52" i="3"/>
  <c r="BD69" i="3"/>
  <c r="BE81" i="3"/>
  <c r="AM70" i="3"/>
  <c r="CH70" i="3" s="1"/>
  <c r="AM62" i="3"/>
  <c r="AM78" i="3"/>
  <c r="BE78" i="3"/>
  <c r="BD88" i="3"/>
  <c r="AM57" i="3"/>
  <c r="CH57" i="3" s="1"/>
  <c r="BG85" i="3"/>
  <c r="AN57" i="3"/>
  <c r="CI57" i="3" s="1"/>
  <c r="AM91" i="3"/>
  <c r="CH91" i="3" s="1"/>
  <c r="BD50" i="3"/>
  <c r="AN66" i="3"/>
  <c r="CI66" i="3" s="1"/>
  <c r="AL56" i="3"/>
  <c r="CG56" i="3" s="1"/>
  <c r="BD81" i="3"/>
  <c r="BF79" i="3"/>
  <c r="BD74" i="3"/>
  <c r="AM68" i="3"/>
  <c r="CH68" i="3" s="1"/>
  <c r="AL58" i="3"/>
  <c r="CG58" i="3" s="1"/>
  <c r="BG74" i="3"/>
  <c r="BD89" i="3"/>
  <c r="BD55" i="3"/>
  <c r="AL48" i="3"/>
  <c r="CG48" i="3" s="1"/>
  <c r="AN81" i="3"/>
  <c r="CI81" i="3" s="1"/>
  <c r="BE63" i="3"/>
  <c r="BF74" i="3"/>
  <c r="AL71" i="3"/>
  <c r="CG71" i="3" s="1"/>
  <c r="BE57" i="3"/>
  <c r="AM54" i="3"/>
  <c r="CH54" i="3" s="1"/>
  <c r="AL63" i="3"/>
  <c r="AL55" i="3"/>
  <c r="CG55" i="3" s="1"/>
  <c r="AM74" i="3"/>
  <c r="CH74" i="3" s="1"/>
  <c r="AL65" i="3"/>
  <c r="CG65" i="3" s="1"/>
  <c r="AN65" i="3"/>
  <c r="CI65" i="3" s="1"/>
  <c r="AO80" i="3"/>
  <c r="CJ80" i="3" s="1"/>
  <c r="AL74" i="3"/>
  <c r="CG74" i="3" s="1"/>
  <c r="BE75" i="3"/>
  <c r="BG83" i="3"/>
  <c r="AO89" i="3"/>
  <c r="CJ89" i="3" s="1"/>
  <c r="BD83" i="3"/>
  <c r="AM59" i="3"/>
  <c r="CH59" i="3" s="1"/>
  <c r="AM80" i="3"/>
  <c r="CH80" i="3" s="1"/>
  <c r="AL84" i="3"/>
  <c r="CG84" i="3" s="1"/>
  <c r="AN91" i="3"/>
  <c r="AL69" i="3"/>
  <c r="CG69" i="3" s="1"/>
  <c r="BG91" i="3"/>
  <c r="AO78" i="3"/>
  <c r="CJ78" i="3" s="1"/>
  <c r="AO74" i="3"/>
  <c r="CJ74" i="3" s="1"/>
  <c r="AN60" i="3"/>
  <c r="AM89" i="3"/>
  <c r="CH89" i="3" s="1"/>
  <c r="BF86" i="3"/>
  <c r="BF83" i="3"/>
  <c r="AO84" i="3"/>
  <c r="CJ84" i="3" s="1"/>
  <c r="BF61" i="3"/>
  <c r="BD79" i="3"/>
  <c r="BG87" i="3"/>
  <c r="BF71" i="3"/>
  <c r="AM58" i="3"/>
  <c r="CH58" i="3" s="1"/>
  <c r="BD49" i="3"/>
  <c r="BF76" i="3"/>
  <c r="BG81" i="3"/>
  <c r="AM67" i="3"/>
  <c r="CH67" i="3" s="1"/>
  <c r="AL62" i="3"/>
  <c r="CG62" i="3" s="1"/>
  <c r="AO82" i="3"/>
  <c r="CJ82" i="3" s="1"/>
  <c r="BE56" i="3"/>
  <c r="AM52" i="3"/>
  <c r="CH52" i="3" s="1"/>
  <c r="AN56" i="3"/>
  <c r="CI56" i="3" s="1"/>
  <c r="AM90" i="3"/>
  <c r="BD60" i="3"/>
  <c r="BE90" i="3"/>
  <c r="BF69" i="3"/>
  <c r="BD56" i="3"/>
  <c r="BE60" i="3"/>
  <c r="BE50" i="3"/>
  <c r="BD76" i="3"/>
  <c r="AN58" i="3"/>
  <c r="BG88" i="3"/>
  <c r="AL87" i="3"/>
  <c r="CG87" i="3" s="1"/>
  <c r="BG89" i="3"/>
  <c r="AL80" i="3"/>
  <c r="CG80" i="3" s="1"/>
  <c r="AN62" i="3"/>
  <c r="CI62" i="3" s="1"/>
  <c r="AN75" i="3"/>
  <c r="CI75" i="3" s="1"/>
  <c r="BD52" i="3"/>
  <c r="BE64" i="3"/>
  <c r="BF64" i="3"/>
  <c r="BF62" i="3"/>
  <c r="BD61" i="3"/>
  <c r="BG79" i="3"/>
  <c r="BF65" i="3"/>
  <c r="BF91" i="3"/>
  <c r="AM64" i="3"/>
  <c r="CH64" i="3" s="1"/>
  <c r="BE77" i="3"/>
  <c r="BD67" i="3"/>
  <c r="AN68" i="3"/>
  <c r="CI68" i="3" s="1"/>
  <c r="BF80" i="3"/>
  <c r="AN80" i="3"/>
  <c r="CI80" i="3" s="1"/>
  <c r="AN90" i="3"/>
  <c r="AL53" i="3"/>
  <c r="CG53" i="3" s="1"/>
  <c r="AM27" i="3"/>
  <c r="CH27" i="3" s="1"/>
  <c r="AN71" i="3"/>
  <c r="AL60" i="3"/>
  <c r="CG60" i="3" s="1"/>
  <c r="BE86" i="3"/>
  <c r="AN64" i="3"/>
  <c r="CI64" i="3" s="1"/>
  <c r="AL81" i="3"/>
  <c r="CG81" i="3" s="1"/>
  <c r="AN85" i="3"/>
  <c r="AL82" i="3"/>
  <c r="CG82" i="3" s="1"/>
  <c r="AN70" i="3"/>
  <c r="CI70" i="3" s="1"/>
  <c r="AM84" i="3"/>
  <c r="CH84" i="3" s="1"/>
  <c r="BG77" i="3"/>
  <c r="BD71" i="3"/>
  <c r="BG84" i="3"/>
  <c r="BD77" i="3"/>
  <c r="BF85" i="3"/>
  <c r="BE69" i="3"/>
  <c r="AM75" i="3"/>
  <c r="CH75" i="3" s="1"/>
  <c r="BG80" i="3"/>
  <c r="BD54" i="3"/>
  <c r="BD63" i="3"/>
  <c r="AO79" i="3"/>
  <c r="CJ79" i="3" s="1"/>
  <c r="AM55" i="3"/>
  <c r="AO83" i="3"/>
  <c r="AL86" i="3"/>
  <c r="CG86" i="3" s="1"/>
  <c r="AL61" i="3"/>
  <c r="CG61" i="3" s="1"/>
  <c r="BD73" i="3"/>
  <c r="BF59" i="3"/>
  <c r="AM53" i="3"/>
  <c r="CH53" i="3" s="1"/>
  <c r="AL64" i="3"/>
  <c r="CG64" i="3" s="1"/>
  <c r="BD68" i="3"/>
  <c r="AL59" i="3"/>
  <c r="AN63" i="3"/>
  <c r="CI63" i="3" s="1"/>
  <c r="AL83" i="3"/>
  <c r="CG83" i="3" s="1"/>
  <c r="AO90" i="3"/>
  <c r="CJ90" i="3" s="1"/>
  <c r="BE73" i="3"/>
  <c r="AO85" i="3"/>
  <c r="BE53" i="3"/>
  <c r="BC53" i="3" s="1"/>
  <c r="BE71" i="3"/>
  <c r="AM71" i="3"/>
  <c r="BE76" i="3"/>
  <c r="BD65" i="3"/>
  <c r="BD58" i="3"/>
  <c r="AL76" i="3"/>
  <c r="CG76" i="3" s="1"/>
  <c r="AM72" i="3"/>
  <c r="AM79" i="3"/>
  <c r="CH79" i="3" s="1"/>
  <c r="AN73" i="3"/>
  <c r="CI73" i="3" s="1"/>
  <c r="BD72" i="3"/>
  <c r="BE82" i="3"/>
  <c r="AO81" i="3"/>
  <c r="BD85" i="3"/>
  <c r="AL49" i="3"/>
  <c r="CG49" i="3" s="1"/>
  <c r="BE79" i="3"/>
  <c r="BE74" i="3"/>
  <c r="BE87" i="3"/>
  <c r="AM83" i="3"/>
  <c r="CH83" i="3" s="1"/>
  <c r="AL57" i="3"/>
  <c r="BF57" i="3"/>
  <c r="AM66" i="3"/>
  <c r="CH66" i="3" s="1"/>
  <c r="BE62" i="3"/>
  <c r="BD70" i="3"/>
  <c r="BD87" i="3"/>
  <c r="AL78" i="3"/>
  <c r="CG78" i="3" s="1"/>
  <c r="AM81" i="3"/>
  <c r="CH81" i="3" s="1"/>
  <c r="AM50" i="3"/>
  <c r="AL70" i="3"/>
  <c r="CG70" i="3" s="1"/>
  <c r="AN84" i="3"/>
  <c r="CI84" i="3" s="1"/>
  <c r="AN79" i="3"/>
  <c r="CI79" i="3" s="1"/>
  <c r="BE59" i="3"/>
  <c r="AL85" i="3"/>
  <c r="CG85" i="3" s="1"/>
  <c r="BG82" i="3"/>
  <c r="AM65" i="3"/>
  <c r="CH65" i="3" s="1"/>
  <c r="AM76" i="3"/>
  <c r="CH76" i="3" s="1"/>
  <c r="BD57" i="3"/>
  <c r="AM61" i="3"/>
  <c r="CH61" i="3" s="1"/>
  <c r="AL68" i="3"/>
  <c r="CG68" i="3" s="1"/>
  <c r="BF66" i="3"/>
  <c r="AN67" i="3"/>
  <c r="CI67" i="3" s="1"/>
  <c r="AL50" i="3"/>
  <c r="CG50" i="3" s="1"/>
  <c r="BF73" i="3"/>
  <c r="AN82" i="3"/>
  <c r="CI82" i="3" s="1"/>
  <c r="BD91" i="3"/>
  <c r="AO86" i="3"/>
  <c r="CJ86" i="3" s="1"/>
  <c r="AM73" i="3"/>
  <c r="CH73" i="3" s="1"/>
  <c r="BD66" i="3"/>
  <c r="AN77" i="3"/>
  <c r="CI77" i="3" s="1"/>
  <c r="AL72" i="3"/>
  <c r="CG72" i="3" s="1"/>
  <c r="BF72" i="3"/>
  <c r="AO91" i="3"/>
  <c r="AL75" i="3"/>
  <c r="CG75" i="3" s="1"/>
  <c r="AN74" i="3"/>
  <c r="AN59" i="3"/>
  <c r="AL67" i="3"/>
  <c r="CG67" i="3" s="1"/>
  <c r="AO88" i="3"/>
  <c r="CJ88" i="3" s="1"/>
  <c r="BD62" i="3"/>
  <c r="AM60" i="3"/>
  <c r="CH60" i="3" s="1"/>
  <c r="BE61" i="3"/>
  <c r="BF58" i="3"/>
  <c r="AL90" i="3"/>
  <c r="BD51" i="3"/>
  <c r="BG78" i="3"/>
  <c r="AN88" i="3"/>
  <c r="AM49" i="3"/>
  <c r="CH49" i="3" s="1"/>
  <c r="AL91" i="3"/>
  <c r="CG91" i="3" s="1"/>
  <c r="BF87" i="3"/>
  <c r="BF56" i="3"/>
  <c r="AM86" i="3"/>
  <c r="CH86" i="3" s="1"/>
  <c r="BE84" i="3"/>
  <c r="BE70" i="3"/>
  <c r="AN83" i="3"/>
  <c r="CI83" i="3" s="1"/>
  <c r="BF89" i="3"/>
  <c r="AL73" i="3"/>
  <c r="CG73" i="3" s="1"/>
  <c r="AN87" i="3"/>
  <c r="CI87" i="3" s="1"/>
  <c r="BD86" i="3"/>
  <c r="BE54" i="3"/>
  <c r="BE88" i="3"/>
  <c r="BG86" i="3"/>
  <c r="BE67" i="3"/>
  <c r="AO77" i="3"/>
  <c r="CJ77" i="3" s="1"/>
  <c r="BD80" i="3"/>
  <c r="BF68" i="3"/>
  <c r="BF88" i="3"/>
  <c r="BG76" i="3"/>
  <c r="BD75" i="3"/>
  <c r="AN89" i="3"/>
  <c r="CI89" i="3" s="1"/>
  <c r="AM85" i="3"/>
  <c r="CH85" i="3" s="1"/>
  <c r="BG90" i="3"/>
  <c r="AL88" i="3"/>
  <c r="BE65" i="3"/>
  <c r="BE91" i="3"/>
  <c r="AN69" i="3"/>
  <c r="CI69" i="3" s="1"/>
  <c r="BE55" i="3"/>
  <c r="AN86" i="3"/>
  <c r="AM56" i="3"/>
  <c r="CH56" i="3" s="1"/>
  <c r="BE85" i="3"/>
  <c r="BD64" i="3"/>
  <c r="AL51" i="3"/>
  <c r="BE51" i="3"/>
  <c r="AL66" i="3"/>
  <c r="CG66" i="3" s="1"/>
  <c r="BE89" i="3"/>
  <c r="AM63" i="3"/>
  <c r="CH63" i="3" s="1"/>
  <c r="AO76" i="3"/>
  <c r="CJ76" i="3" s="1"/>
  <c r="BF75" i="3"/>
  <c r="AM88" i="3"/>
  <c r="CH88" i="3" s="1"/>
  <c r="AM69" i="3"/>
  <c r="CH69" i="3" s="1"/>
  <c r="BF60" i="3"/>
  <c r="AO75" i="3"/>
  <c r="BF17" i="3"/>
  <c r="BD9" i="3"/>
  <c r="AM36" i="3"/>
  <c r="CH36" i="3" s="1"/>
  <c r="AN76" i="3"/>
  <c r="CI76" i="3" s="1"/>
  <c r="BF90" i="3"/>
  <c r="BF84" i="3"/>
  <c r="AL52" i="3"/>
  <c r="BE49" i="3"/>
  <c r="BF18" i="3"/>
  <c r="AL89" i="3"/>
  <c r="CG89" i="3" s="1"/>
  <c r="BE83" i="3"/>
  <c r="BD17" i="3"/>
  <c r="BF81" i="3"/>
  <c r="AN78" i="3"/>
  <c r="BF77" i="3"/>
  <c r="AL77" i="3"/>
  <c r="AL79" i="3"/>
  <c r="BD78" i="3"/>
  <c r="BE8" i="3"/>
  <c r="AM18" i="3"/>
  <c r="CH18" i="3" s="1"/>
  <c r="AN14" i="3"/>
  <c r="CI14" i="3" s="1"/>
  <c r="AM11" i="3"/>
  <c r="CH11" i="3" s="1"/>
  <c r="AM17" i="3"/>
  <c r="CH17" i="3" s="1"/>
  <c r="AM15" i="3"/>
  <c r="CH15" i="3" s="1"/>
  <c r="AL14" i="3"/>
  <c r="CG14" i="3" s="1"/>
  <c r="AL17" i="3"/>
  <c r="CG17" i="3" s="1"/>
  <c r="AL18" i="3"/>
  <c r="BF16" i="3"/>
  <c r="BE10" i="3"/>
  <c r="AL16" i="3"/>
  <c r="CG16" i="3" s="1"/>
  <c r="AM10" i="3"/>
  <c r="CH10" i="3" s="1"/>
  <c r="BE13" i="3"/>
  <c r="BD8" i="3"/>
  <c r="BE11" i="3"/>
  <c r="AM12" i="3"/>
  <c r="CH12" i="3" s="1"/>
  <c r="AM9" i="3"/>
  <c r="CH9" i="3" s="1"/>
  <c r="AN17" i="3"/>
  <c r="CI17" i="3" s="1"/>
  <c r="BE15" i="3"/>
  <c r="BD16" i="3"/>
  <c r="BD14" i="3"/>
  <c r="BD10" i="3"/>
  <c r="AM16" i="3"/>
  <c r="CH16" i="3" s="1"/>
  <c r="BE17" i="3"/>
  <c r="AM8" i="3"/>
  <c r="CH8" i="3" s="1"/>
  <c r="BE18" i="3"/>
  <c r="BD12" i="3"/>
  <c r="BD18" i="3"/>
  <c r="BE12" i="3"/>
  <c r="AL10" i="3"/>
  <c r="CG10" i="3" s="1"/>
  <c r="BF15" i="3"/>
  <c r="BE9" i="3"/>
  <c r="BD11" i="3"/>
  <c r="BE14" i="3"/>
  <c r="AN16" i="3"/>
  <c r="CI16" i="3" s="1"/>
  <c r="AM14" i="3"/>
  <c r="CH14" i="3" s="1"/>
  <c r="AN15" i="3"/>
  <c r="CI15" i="3" s="1"/>
  <c r="AL9" i="3"/>
  <c r="CH4" i="3"/>
  <c r="CF4" i="3" s="1"/>
  <c r="AM138" i="3"/>
  <c r="CH138" i="3" s="1"/>
  <c r="CH6" i="3"/>
  <c r="BD30" i="3"/>
  <c r="CG6" i="3"/>
  <c r="AL15" i="3"/>
  <c r="CG15" i="3" s="1"/>
  <c r="AL40" i="3"/>
  <c r="CG40" i="3" s="1"/>
  <c r="AL11" i="3"/>
  <c r="CG11" i="3" s="1"/>
  <c r="AM82" i="3"/>
  <c r="BE66" i="3"/>
  <c r="BF63" i="3"/>
  <c r="AL8" i="3"/>
  <c r="CG8" i="3" s="1"/>
  <c r="AN18" i="3"/>
  <c r="CI18" i="3" s="1"/>
  <c r="AL12" i="3"/>
  <c r="CG12" i="3" s="1"/>
  <c r="BD39" i="3"/>
  <c r="BD13" i="3"/>
  <c r="BD15" i="3"/>
  <c r="AL13" i="3"/>
  <c r="CG13" i="3" s="1"/>
  <c r="BF14" i="3"/>
  <c r="BF41" i="3"/>
  <c r="AM42" i="3"/>
  <c r="CH42" i="3" s="1"/>
  <c r="AM38" i="3"/>
  <c r="CH38" i="3" s="1"/>
  <c r="BE26" i="3"/>
  <c r="AL26" i="3"/>
  <c r="CG26" i="3" s="1"/>
  <c r="BD38" i="3"/>
  <c r="BD32" i="3"/>
  <c r="AL30" i="3"/>
  <c r="CG30" i="3" s="1"/>
  <c r="AM44" i="3"/>
  <c r="CH44" i="3" s="1"/>
  <c r="BD134" i="3"/>
  <c r="AL45" i="3"/>
  <c r="CG45" i="3" s="1"/>
  <c r="BD25" i="3"/>
  <c r="BD28" i="3"/>
  <c r="AN42" i="3"/>
  <c r="CI42" i="3" s="1"/>
  <c r="AN37" i="3"/>
  <c r="AM24" i="3"/>
  <c r="CH24" i="3" s="1"/>
  <c r="BF118" i="3"/>
  <c r="BH137" i="3"/>
  <c r="BD27" i="3"/>
  <c r="AL23" i="3"/>
  <c r="CG23" i="3" s="1"/>
  <c r="BE20" i="3"/>
  <c r="BF38" i="3"/>
  <c r="AL42" i="3"/>
  <c r="CG42" i="3" s="1"/>
  <c r="AO46" i="3"/>
  <c r="CJ46" i="3" s="1"/>
  <c r="BG42" i="3"/>
  <c r="BD23" i="3"/>
  <c r="BD42" i="3"/>
  <c r="BF37" i="3"/>
  <c r="BE24" i="3"/>
  <c r="AL37" i="3"/>
  <c r="CG37" i="3" s="1"/>
  <c r="AN40" i="3"/>
  <c r="CI40" i="3" s="1"/>
  <c r="AL39" i="3"/>
  <c r="CG39" i="3" s="1"/>
  <c r="AO44" i="3"/>
  <c r="CJ44" i="3" s="1"/>
  <c r="BD46" i="3"/>
  <c r="AL24" i="3"/>
  <c r="CG24" i="3" s="1"/>
  <c r="AM28" i="3"/>
  <c r="CH28" i="3" s="1"/>
  <c r="AO41" i="3"/>
  <c r="CJ41" i="3" s="1"/>
  <c r="BE35" i="3"/>
  <c r="AL43" i="3"/>
  <c r="CG43" i="3" s="1"/>
  <c r="BG45" i="3"/>
  <c r="AL38" i="3"/>
  <c r="CG38" i="3" s="1"/>
  <c r="AL34" i="3"/>
  <c r="CG34" i="3" s="1"/>
  <c r="AL33" i="3"/>
  <c r="CG33" i="3" s="1"/>
  <c r="BF29" i="3"/>
  <c r="BG46" i="3"/>
  <c r="BD43" i="3"/>
  <c r="AL27" i="3"/>
  <c r="CG27" i="3" s="1"/>
  <c r="BF30" i="3"/>
  <c r="BD35" i="3"/>
  <c r="BD34" i="3"/>
  <c r="AN39" i="3"/>
  <c r="AN28" i="3"/>
  <c r="CI28" i="3" s="1"/>
  <c r="BE43" i="3"/>
  <c r="AN38" i="3"/>
  <c r="CI38" i="3" s="1"/>
  <c r="BE27" i="3"/>
  <c r="BD41" i="3"/>
  <c r="BF31" i="3"/>
  <c r="AL130" i="3"/>
  <c r="CG130" i="3" s="1"/>
  <c r="BE99" i="3"/>
  <c r="AP143" i="3"/>
  <c r="CK143" i="3" s="1"/>
  <c r="AO145" i="3"/>
  <c r="CJ145" i="3" s="1"/>
  <c r="AL145" i="3"/>
  <c r="CG145" i="3" s="1"/>
  <c r="BD117" i="3"/>
  <c r="BG139" i="3"/>
  <c r="AO133" i="3"/>
  <c r="CJ133" i="3" s="1"/>
  <c r="AN125" i="3"/>
  <c r="CI125" i="3" s="1"/>
  <c r="BE139" i="3"/>
  <c r="BF113" i="3"/>
  <c r="BG134" i="3"/>
  <c r="BD104" i="3"/>
  <c r="AN115" i="3"/>
  <c r="CI115" i="3" s="1"/>
  <c r="AL138" i="3"/>
  <c r="CG138" i="3" s="1"/>
  <c r="BG123" i="3"/>
  <c r="AO138" i="3"/>
  <c r="CJ138" i="3" s="1"/>
  <c r="BD133" i="3"/>
  <c r="AL107" i="3"/>
  <c r="CG107" i="3" s="1"/>
  <c r="BG120" i="3"/>
  <c r="BE126" i="3"/>
  <c r="AN112" i="3"/>
  <c r="CI112" i="3" s="1"/>
  <c r="AL29" i="3"/>
  <c r="CG29" i="3" s="1"/>
  <c r="AL111" i="3"/>
  <c r="CG111" i="3" s="1"/>
  <c r="BF120" i="3"/>
  <c r="AM123" i="3"/>
  <c r="CH123" i="3" s="1"/>
  <c r="AN130" i="3"/>
  <c r="CI130" i="3" s="1"/>
  <c r="AL133" i="3"/>
  <c r="CG133" i="3" s="1"/>
  <c r="BD140" i="3"/>
  <c r="BE93" i="3"/>
  <c r="BG138" i="3"/>
  <c r="BG41" i="3"/>
  <c r="BE16" i="3"/>
  <c r="BD45" i="3"/>
  <c r="AN43" i="3"/>
  <c r="CI43" i="3" s="1"/>
  <c r="AM39" i="3"/>
  <c r="CH39" i="3" s="1"/>
  <c r="AM37" i="3"/>
  <c r="CH37" i="3" s="1"/>
  <c r="AM35" i="3"/>
  <c r="CH35" i="3" s="1"/>
  <c r="BE29" i="3"/>
  <c r="AN36" i="3"/>
  <c r="CI36" i="3" s="1"/>
  <c r="CH13" i="3"/>
  <c r="AN29" i="3"/>
  <c r="CI29" i="3" s="1"/>
  <c r="AL112" i="3"/>
  <c r="CG112" i="3" s="1"/>
  <c r="BD127" i="3"/>
  <c r="BD105" i="3"/>
  <c r="BF108" i="3"/>
  <c r="BD119" i="3"/>
  <c r="AL136" i="3"/>
  <c r="CG136" i="3" s="1"/>
  <c r="BE105" i="3"/>
  <c r="AL129" i="3"/>
  <c r="CG129" i="3" s="1"/>
  <c r="AL124" i="3"/>
  <c r="CG124" i="3" s="1"/>
  <c r="AN146" i="3"/>
  <c r="CI146" i="3" s="1"/>
  <c r="BE141" i="3"/>
  <c r="AL94" i="3"/>
  <c r="CG94" i="3" s="1"/>
  <c r="AL119" i="3"/>
  <c r="CG119" i="3" s="1"/>
  <c r="AM113" i="3"/>
  <c r="CH113" i="3" s="1"/>
  <c r="AP141" i="3"/>
  <c r="CK141" i="3" s="1"/>
  <c r="AN123" i="3"/>
  <c r="CI123" i="3" s="1"/>
  <c r="AO136" i="3"/>
  <c r="CJ136" i="3" s="1"/>
  <c r="AM119" i="3"/>
  <c r="CH119" i="3" s="1"/>
  <c r="AO147" i="3"/>
  <c r="CJ147" i="3" s="1"/>
  <c r="BD123" i="3"/>
  <c r="AO125" i="3"/>
  <c r="CJ125" i="3" s="1"/>
  <c r="AM125" i="3"/>
  <c r="CH125" i="3" s="1"/>
  <c r="BG132" i="3"/>
  <c r="AN145" i="3"/>
  <c r="CI145" i="3" s="1"/>
  <c r="AM139" i="3"/>
  <c r="CH139" i="3" s="1"/>
  <c r="BF115" i="3"/>
  <c r="AL139" i="3"/>
  <c r="CG139" i="3" s="1"/>
  <c r="AP148" i="3"/>
  <c r="CK148" i="3" s="1"/>
  <c r="AO139" i="3"/>
  <c r="CJ139" i="3" s="1"/>
  <c r="AN133" i="3"/>
  <c r="CI133" i="3" s="1"/>
  <c r="BD137" i="3"/>
  <c r="AN138" i="3"/>
  <c r="CI138" i="3" s="1"/>
  <c r="AL141" i="3"/>
  <c r="CG141" i="3" s="1"/>
  <c r="BF128" i="3"/>
  <c r="AM143" i="3"/>
  <c r="CH143" i="3" s="1"/>
  <c r="AL105" i="3"/>
  <c r="CG105" i="3" s="1"/>
  <c r="BD93" i="3"/>
  <c r="BD101" i="3"/>
  <c r="BE135" i="3"/>
  <c r="AL135" i="3"/>
  <c r="CG135" i="3" s="1"/>
  <c r="AL131" i="3"/>
  <c r="CG131" i="3" s="1"/>
  <c r="AM105" i="3"/>
  <c r="CH105" i="3" s="1"/>
  <c r="AL134" i="3"/>
  <c r="CG134" i="3" s="1"/>
  <c r="BD128" i="3"/>
  <c r="BE94" i="3"/>
  <c r="BD136" i="3"/>
  <c r="AL99" i="3"/>
  <c r="CG99" i="3" s="1"/>
  <c r="AL114" i="3"/>
  <c r="CG114" i="3" s="1"/>
  <c r="BF127" i="3"/>
  <c r="AN110" i="3"/>
  <c r="CI110" i="3" s="1"/>
  <c r="AM107" i="3"/>
  <c r="CH107" i="3" s="1"/>
  <c r="AM104" i="3"/>
  <c r="CH104" i="3" s="1"/>
  <c r="BF114" i="3"/>
  <c r="AO121" i="3"/>
  <c r="CJ121" i="3" s="1"/>
  <c r="BF134" i="3"/>
  <c r="BE98" i="3"/>
  <c r="BE122" i="3"/>
  <c r="AL102" i="3"/>
  <c r="CG102" i="3" s="1"/>
  <c r="BG146" i="3"/>
  <c r="AM103" i="3"/>
  <c r="CH103" i="3" s="1"/>
  <c r="AM134" i="3"/>
  <c r="CH134" i="3" s="1"/>
  <c r="BF103" i="3"/>
  <c r="AP147" i="3"/>
  <c r="CK147" i="3" s="1"/>
  <c r="AL140" i="3"/>
  <c r="CG140" i="3" s="1"/>
  <c r="AM133" i="3"/>
  <c r="CH133" i="3" s="1"/>
  <c r="BD130" i="3"/>
  <c r="AL101" i="3"/>
  <c r="CG101" i="3" s="1"/>
  <c r="AN139" i="3"/>
  <c r="CI139" i="3" s="1"/>
  <c r="BE100" i="3"/>
  <c r="AN144" i="3"/>
  <c r="CI144" i="3" s="1"/>
  <c r="BD124" i="3"/>
  <c r="BD112" i="3"/>
  <c r="BE137" i="3"/>
  <c r="AM95" i="3"/>
  <c r="CH95" i="3" s="1"/>
  <c r="BD107" i="3"/>
  <c r="BG140" i="3"/>
  <c r="AP146" i="3"/>
  <c r="CK146" i="3" s="1"/>
  <c r="BD115" i="3"/>
  <c r="BE129" i="3"/>
  <c r="AN128" i="3"/>
  <c r="CI128" i="3" s="1"/>
  <c r="AL123" i="3"/>
  <c r="CG123" i="3" s="1"/>
  <c r="BD113" i="3"/>
  <c r="BE133" i="3"/>
  <c r="AM115" i="3"/>
  <c r="CH115" i="3" s="1"/>
  <c r="AL116" i="3"/>
  <c r="CG116" i="3" s="1"/>
  <c r="BF140" i="3"/>
  <c r="AM114" i="3"/>
  <c r="CH114" i="3" s="1"/>
  <c r="BF125" i="3"/>
  <c r="BG136" i="3"/>
  <c r="BH146" i="3"/>
  <c r="AM94" i="3"/>
  <c r="CH94" i="3" s="1"/>
  <c r="AM102" i="3"/>
  <c r="CH102" i="3" s="1"/>
  <c r="BE140" i="3"/>
  <c r="AN113" i="3"/>
  <c r="CI113" i="3" s="1"/>
  <c r="BE146" i="3"/>
  <c r="BF110" i="3"/>
  <c r="AM98" i="3"/>
  <c r="CH98" i="3" s="1"/>
  <c r="AO142" i="3"/>
  <c r="CJ142" i="3" s="1"/>
  <c r="AM131" i="3"/>
  <c r="CH131" i="3" s="1"/>
  <c r="BF141" i="3"/>
  <c r="BF106" i="3"/>
  <c r="AM127" i="3"/>
  <c r="CH127" i="3" s="1"/>
  <c r="BD147" i="3"/>
  <c r="BE115" i="3"/>
  <c r="BD110" i="3"/>
  <c r="BE109" i="3"/>
  <c r="AO143" i="3"/>
  <c r="CJ143" i="3" s="1"/>
  <c r="AL117" i="3"/>
  <c r="CG117" i="3" s="1"/>
  <c r="BE95" i="3"/>
  <c r="BD109" i="3"/>
  <c r="BD96" i="3"/>
  <c r="BF105" i="3"/>
  <c r="AL110" i="3"/>
  <c r="CG110" i="3" s="1"/>
  <c r="AL137" i="3"/>
  <c r="CG137" i="3" s="1"/>
  <c r="BD116" i="3"/>
  <c r="AL122" i="3"/>
  <c r="CG122" i="3" s="1"/>
  <c r="BF107" i="3"/>
  <c r="AM100" i="3"/>
  <c r="CH100" i="3" s="1"/>
  <c r="AM128" i="3"/>
  <c r="CH128" i="3" s="1"/>
  <c r="BE117" i="3"/>
  <c r="AL147" i="3"/>
  <c r="CG147" i="3" s="1"/>
  <c r="AO127" i="3"/>
  <c r="CJ127" i="3" s="1"/>
  <c r="AM132" i="3"/>
  <c r="CH132" i="3" s="1"/>
  <c r="AN124" i="3"/>
  <c r="CI124" i="3" s="1"/>
  <c r="AM136" i="3"/>
  <c r="CH136" i="3" s="1"/>
  <c r="BE147" i="3"/>
  <c r="AM130" i="3"/>
  <c r="CH130" i="3" s="1"/>
  <c r="BE113" i="3"/>
  <c r="AL118" i="3"/>
  <c r="CG118" i="3" s="1"/>
  <c r="BE130" i="3"/>
  <c r="AN107" i="3"/>
  <c r="CI107" i="3" s="1"/>
  <c r="BE124" i="3"/>
  <c r="AM111" i="3"/>
  <c r="CH111" i="3" s="1"/>
  <c r="BF133" i="3"/>
  <c r="BE143" i="3"/>
  <c r="AN134" i="3"/>
  <c r="BF126" i="3"/>
  <c r="AL146" i="3"/>
  <c r="CG146" i="3" s="1"/>
  <c r="AM142" i="3"/>
  <c r="CH142" i="3" s="1"/>
  <c r="BD118" i="3"/>
  <c r="AO126" i="3"/>
  <c r="CJ126" i="3" s="1"/>
  <c r="BF117" i="3"/>
  <c r="BD103" i="3"/>
  <c r="BF119" i="3"/>
  <c r="AM109" i="3"/>
  <c r="CH109" i="3" s="1"/>
  <c r="BD131" i="3"/>
  <c r="BH140" i="3"/>
  <c r="BF132" i="3"/>
  <c r="BD144" i="3"/>
  <c r="AM99" i="3"/>
  <c r="CH99" i="3" s="1"/>
  <c r="AL95" i="3"/>
  <c r="CG95" i="3" s="1"/>
  <c r="AN104" i="3"/>
  <c r="CI104" i="3" s="1"/>
  <c r="AN103" i="3"/>
  <c r="CI103" i="3" s="1"/>
  <c r="AL121" i="3"/>
  <c r="CG121" i="3" s="1"/>
  <c r="AM144" i="3"/>
  <c r="CH144" i="3" s="1"/>
  <c r="AL100" i="3"/>
  <c r="CG100" i="3" s="1"/>
  <c r="BE97" i="3"/>
  <c r="BG142" i="3"/>
  <c r="BE127" i="3"/>
  <c r="AL104" i="3"/>
  <c r="CG104" i="3" s="1"/>
  <c r="BH138" i="3"/>
  <c r="AP144" i="3"/>
  <c r="CK144" i="3" s="1"/>
  <c r="BG126" i="3"/>
  <c r="BD126" i="3"/>
  <c r="AN141" i="3"/>
  <c r="CI141" i="3" s="1"/>
  <c r="BG133" i="3"/>
  <c r="AO148" i="3"/>
  <c r="CJ148" i="3" s="1"/>
  <c r="AM97" i="3"/>
  <c r="CH97" i="3" s="1"/>
  <c r="BF139" i="3"/>
  <c r="BE112" i="3"/>
  <c r="BF36" i="3"/>
  <c r="BD146" i="3"/>
  <c r="AO132" i="3"/>
  <c r="CJ132" i="3" s="1"/>
  <c r="AL106" i="3"/>
  <c r="CG106" i="3" s="1"/>
  <c r="AM124" i="3"/>
  <c r="CH124" i="3" s="1"/>
  <c r="AO122" i="3"/>
  <c r="CJ122" i="3" s="1"/>
  <c r="BD120" i="3"/>
  <c r="BG124" i="3"/>
  <c r="AN101" i="3"/>
  <c r="CI101" i="3" s="1"/>
  <c r="BD100" i="3"/>
  <c r="AN140" i="3"/>
  <c r="CI140" i="3" s="1"/>
  <c r="BG129" i="3"/>
  <c r="BD121" i="3"/>
  <c r="AM145" i="3"/>
  <c r="CH145" i="3" s="1"/>
  <c r="BD95" i="3"/>
  <c r="BE121" i="3"/>
  <c r="BF111" i="3"/>
  <c r="AN108" i="3"/>
  <c r="AN122" i="3"/>
  <c r="CI122" i="3" s="1"/>
  <c r="AL120" i="3"/>
  <c r="CG120" i="3" s="1"/>
  <c r="BG131" i="3"/>
  <c r="AN126" i="3"/>
  <c r="CI126" i="3" s="1"/>
  <c r="BH142" i="3"/>
  <c r="AL97" i="3"/>
  <c r="CG97" i="3" s="1"/>
  <c r="BF136" i="3"/>
  <c r="BH148" i="3"/>
  <c r="BF109" i="3"/>
  <c r="BE103" i="3"/>
  <c r="BD129" i="3"/>
  <c r="AO123" i="3"/>
  <c r="CJ123" i="3" s="1"/>
  <c r="AN118" i="3"/>
  <c r="CI118" i="3" s="1"/>
  <c r="AO129" i="3"/>
  <c r="CJ129" i="3" s="1"/>
  <c r="BE110" i="3"/>
  <c r="BE111" i="3"/>
  <c r="AO146" i="3"/>
  <c r="CJ146" i="3" s="1"/>
  <c r="BD145" i="3"/>
  <c r="AL148" i="3"/>
  <c r="CG148" i="3" s="1"/>
  <c r="BD106" i="3"/>
  <c r="BG144" i="3"/>
  <c r="BD102" i="3"/>
  <c r="BD135" i="3"/>
  <c r="AM126" i="3"/>
  <c r="CH126" i="3" s="1"/>
  <c r="AL93" i="3"/>
  <c r="CG93" i="3" s="1"/>
  <c r="BD94" i="3"/>
  <c r="BD111" i="3"/>
  <c r="BF142" i="3"/>
  <c r="AL98" i="3"/>
  <c r="CG98" i="3" s="1"/>
  <c r="CF98" i="3" s="1"/>
  <c r="AP140" i="3"/>
  <c r="CK140" i="3" s="1"/>
  <c r="AL103" i="3"/>
  <c r="CG103" i="3" s="1"/>
  <c r="AO135" i="3"/>
  <c r="CJ135" i="3" s="1"/>
  <c r="AN131" i="3"/>
  <c r="CI131" i="3" s="1"/>
  <c r="BE108" i="3"/>
  <c r="AL108" i="3"/>
  <c r="CG108" i="3" s="1"/>
  <c r="BD148" i="3"/>
  <c r="BE101" i="3"/>
  <c r="BE132" i="3"/>
  <c r="AM93" i="3"/>
  <c r="CH93" i="3" s="1"/>
  <c r="AN137" i="3"/>
  <c r="CI137" i="3" s="1"/>
  <c r="BG121" i="3"/>
  <c r="BH144" i="3"/>
  <c r="BF122" i="3"/>
  <c r="BG128" i="3"/>
  <c r="AN120" i="3"/>
  <c r="CI120" i="3" s="1"/>
  <c r="BF144" i="3"/>
  <c r="AM117" i="3"/>
  <c r="CH117" i="3" s="1"/>
  <c r="BE142" i="3"/>
  <c r="AP137" i="3"/>
  <c r="CK137" i="3" s="1"/>
  <c r="AN105" i="3"/>
  <c r="CI105" i="3" s="1"/>
  <c r="AO119" i="3"/>
  <c r="CJ119" i="3" s="1"/>
  <c r="BG145" i="3"/>
  <c r="BE134" i="3"/>
  <c r="BD108" i="3"/>
  <c r="AM141" i="3"/>
  <c r="CH141" i="3" s="1"/>
  <c r="BF112" i="3"/>
  <c r="BF143" i="3"/>
  <c r="AM110" i="3"/>
  <c r="CH110" i="3" s="1"/>
  <c r="BD142" i="3"/>
  <c r="AN135" i="3"/>
  <c r="CI135" i="3" s="1"/>
  <c r="BE148" i="3"/>
  <c r="BG130" i="3"/>
  <c r="AN106" i="3"/>
  <c r="CI106" i="3" s="1"/>
  <c r="AM122" i="3"/>
  <c r="CH122" i="3" s="1"/>
  <c r="AM101" i="3"/>
  <c r="CH101" i="3" s="1"/>
  <c r="AL96" i="3"/>
  <c r="CG96" i="3" s="1"/>
  <c r="BD143" i="3"/>
  <c r="BG122" i="3"/>
  <c r="AO137" i="3"/>
  <c r="CJ137" i="3" s="1"/>
  <c r="AN147" i="3"/>
  <c r="CI147" i="3" s="1"/>
  <c r="AM118" i="3"/>
  <c r="CH118" i="3" s="1"/>
  <c r="BH147" i="3"/>
  <c r="BD132" i="3"/>
  <c r="BD114" i="3"/>
  <c r="BD97" i="3"/>
  <c r="AM135" i="3"/>
  <c r="CH135" i="3" s="1"/>
  <c r="BF135" i="3"/>
  <c r="BF129" i="3"/>
  <c r="AM148" i="3"/>
  <c r="CH148" i="3" s="1"/>
  <c r="AN142" i="3"/>
  <c r="CI142" i="3" s="1"/>
  <c r="BF138" i="3"/>
  <c r="BE106" i="3"/>
  <c r="BF121" i="3"/>
  <c r="AP139" i="3"/>
  <c r="CK139" i="3" s="1"/>
  <c r="BF130" i="3"/>
  <c r="BE123" i="3"/>
  <c r="BF131" i="3"/>
  <c r="AP138" i="3"/>
  <c r="CK138" i="3" s="1"/>
  <c r="AM146" i="3"/>
  <c r="CH146" i="3" s="1"/>
  <c r="BE138" i="3"/>
  <c r="BF102" i="3"/>
  <c r="AL126" i="3"/>
  <c r="CG126" i="3" s="1"/>
  <c r="AN119" i="3"/>
  <c r="CI119" i="3" s="1"/>
  <c r="AM112" i="3"/>
  <c r="CH112" i="3" s="1"/>
  <c r="BF123" i="3"/>
  <c r="AM129" i="3"/>
  <c r="CH129" i="3" s="1"/>
  <c r="BD138" i="3"/>
  <c r="BE102" i="3"/>
  <c r="BF147" i="3"/>
  <c r="AM121" i="3"/>
  <c r="CH121" i="3" s="1"/>
  <c r="AN127" i="3"/>
  <c r="CI127" i="3" s="1"/>
  <c r="AL144" i="3"/>
  <c r="CG144" i="3" s="1"/>
  <c r="AM108" i="3"/>
  <c r="CH108" i="3" s="1"/>
  <c r="BE116" i="3"/>
  <c r="BD99" i="3"/>
  <c r="BF124" i="3"/>
  <c r="AN109" i="3"/>
  <c r="CI109" i="3" s="1"/>
  <c r="BG137" i="3"/>
  <c r="BG148" i="3"/>
  <c r="BE118" i="3"/>
  <c r="BF145" i="3"/>
  <c r="AO134" i="3"/>
  <c r="CJ134" i="3" s="1"/>
  <c r="BF137" i="3"/>
  <c r="BE144" i="3"/>
  <c r="BD122" i="3"/>
  <c r="BG119" i="3"/>
  <c r="AM116" i="3"/>
  <c r="CH116" i="3" s="1"/>
  <c r="BF40" i="3"/>
  <c r="BF146" i="3"/>
  <c r="BG141" i="3"/>
  <c r="BD141" i="3"/>
  <c r="AN143" i="3"/>
  <c r="CI143" i="3" s="1"/>
  <c r="BG147" i="3"/>
  <c r="BD125" i="3"/>
  <c r="AN116" i="3"/>
  <c r="CI116" i="3" s="1"/>
  <c r="BE145" i="3"/>
  <c r="AN129" i="3"/>
  <c r="CI129" i="3" s="1"/>
  <c r="AM96" i="3"/>
  <c r="CH96" i="3" s="1"/>
  <c r="AL127" i="3"/>
  <c r="CG127" i="3" s="1"/>
  <c r="AL113" i="3"/>
  <c r="CG113" i="3" s="1"/>
  <c r="AP145" i="3"/>
  <c r="CK145" i="3" s="1"/>
  <c r="BE125" i="3"/>
  <c r="BF104" i="3"/>
  <c r="AL125" i="3"/>
  <c r="CG125" i="3" s="1"/>
  <c r="AO131" i="3"/>
  <c r="CJ131" i="3" s="1"/>
  <c r="BF116" i="3"/>
  <c r="AL109" i="3"/>
  <c r="CG109" i="3" s="1"/>
  <c r="AO144" i="3"/>
  <c r="CJ144" i="3" s="1"/>
  <c r="BH143" i="3"/>
  <c r="AN132" i="3"/>
  <c r="CI132" i="3" s="1"/>
  <c r="BE131" i="3"/>
  <c r="BE120" i="3"/>
  <c r="AO141" i="3"/>
  <c r="CJ141" i="3" s="1"/>
  <c r="AO130" i="3"/>
  <c r="CJ130" i="3" s="1"/>
  <c r="BH139" i="3"/>
  <c r="AM140" i="3"/>
  <c r="CH140" i="3" s="1"/>
  <c r="AP142" i="3"/>
  <c r="CK142" i="3" s="1"/>
  <c r="AM120" i="3"/>
  <c r="CH120" i="3" s="1"/>
  <c r="BG127" i="3"/>
  <c r="AL22" i="3"/>
  <c r="CG22" i="3" s="1"/>
  <c r="BE38" i="3"/>
  <c r="BE23" i="3"/>
  <c r="AL128" i="3"/>
  <c r="CG128" i="3" s="1"/>
  <c r="AN136" i="3"/>
  <c r="CI136" i="3" s="1"/>
  <c r="BF101" i="3"/>
  <c r="BE107" i="3"/>
  <c r="BE119" i="3"/>
  <c r="BF148" i="3"/>
  <c r="AL142" i="3"/>
  <c r="CG142" i="3" s="1"/>
  <c r="AO128" i="3"/>
  <c r="CJ128" i="3" s="1"/>
  <c r="BH141" i="3"/>
  <c r="BE96" i="3"/>
  <c r="AN114" i="3"/>
  <c r="CI114" i="3" s="1"/>
  <c r="BE136" i="3"/>
  <c r="AM147" i="3"/>
  <c r="CH147" i="3" s="1"/>
  <c r="BE114" i="3"/>
  <c r="AM137" i="3"/>
  <c r="CH137" i="3" s="1"/>
  <c r="BE128" i="3"/>
  <c r="AN111" i="3"/>
  <c r="CI111" i="3" s="1"/>
  <c r="AO124" i="3"/>
  <c r="CJ124" i="3" s="1"/>
  <c r="AL115" i="3"/>
  <c r="CG115" i="3" s="1"/>
  <c r="AO120" i="3"/>
  <c r="CJ120" i="3" s="1"/>
  <c r="BG135" i="3"/>
  <c r="BG125" i="3"/>
  <c r="BH145" i="3"/>
  <c r="AM106" i="3"/>
  <c r="CH106" i="3" s="1"/>
  <c r="AL143" i="3"/>
  <c r="CG143" i="3" s="1"/>
  <c r="BD139" i="3"/>
  <c r="AN121" i="3"/>
  <c r="CI121" i="3" s="1"/>
  <c r="AN117" i="3"/>
  <c r="CI117" i="3" s="1"/>
  <c r="BD98" i="3"/>
  <c r="AN102" i="3"/>
  <c r="CI102" i="3" s="1"/>
  <c r="AL132" i="3"/>
  <c r="CG132" i="3" s="1"/>
  <c r="AN148" i="3"/>
  <c r="CI148" i="3" s="1"/>
  <c r="AO140" i="3"/>
  <c r="CJ140" i="3" s="1"/>
  <c r="BG143" i="3"/>
  <c r="BD20" i="3"/>
  <c r="BE33" i="3"/>
  <c r="AL21" i="3"/>
  <c r="CG21" i="3" s="1"/>
  <c r="CH78" i="3"/>
  <c r="CI85" i="3"/>
  <c r="CJ83" i="3"/>
  <c r="CH87" i="3"/>
  <c r="CI91" i="3"/>
  <c r="CH62" i="3"/>
  <c r="CI71" i="3"/>
  <c r="CH48" i="3"/>
  <c r="CH51" i="3"/>
  <c r="CI90" i="3"/>
  <c r="CG88" i="3"/>
  <c r="CI58" i="3"/>
  <c r="CH71" i="3"/>
  <c r="CG59" i="3"/>
  <c r="CH90" i="3"/>
  <c r="CI60" i="3"/>
  <c r="W7" i="3"/>
  <c r="W9" i="3" s="1"/>
  <c r="BE22" i="3"/>
  <c r="AM26" i="3"/>
  <c r="CH26" i="3" s="1"/>
  <c r="BG43" i="3"/>
  <c r="AM33" i="3"/>
  <c r="CH33" i="3" s="1"/>
  <c r="AN34" i="3"/>
  <c r="CI34" i="3" s="1"/>
  <c r="BF33" i="3"/>
  <c r="BF32" i="3"/>
  <c r="AN46" i="3"/>
  <c r="CI46" i="3" s="1"/>
  <c r="AN33" i="3"/>
  <c r="CI33" i="3" s="1"/>
  <c r="BF43" i="3"/>
  <c r="AN41" i="3"/>
  <c r="CI41" i="3" s="1"/>
  <c r="BE44" i="3"/>
  <c r="BD31" i="3"/>
  <c r="BE42" i="3"/>
  <c r="AM23" i="3"/>
  <c r="CH23" i="3" s="1"/>
  <c r="AM43" i="3"/>
  <c r="CH43" i="3" s="1"/>
  <c r="AM25" i="3"/>
  <c r="CH25" i="3" s="1"/>
  <c r="BE39" i="3"/>
  <c r="AL25" i="3"/>
  <c r="CG25" i="3" s="1"/>
  <c r="AM30" i="3"/>
  <c r="CH30" i="3" s="1"/>
  <c r="BE46" i="3"/>
  <c r="BD26" i="3"/>
  <c r="BF39" i="3"/>
  <c r="AN32" i="3"/>
  <c r="CI32" i="3" s="1"/>
  <c r="AM22" i="3"/>
  <c r="CH22" i="3" s="1"/>
  <c r="AM45" i="3"/>
  <c r="CH45" i="3" s="1"/>
  <c r="AM41" i="3"/>
  <c r="CH41" i="3" s="1"/>
  <c r="AM31" i="3"/>
  <c r="CH31" i="3" s="1"/>
  <c r="BE28" i="3"/>
  <c r="AM46" i="3"/>
  <c r="CH46" i="3" s="1"/>
  <c r="AL41" i="3"/>
  <c r="CG41" i="3" s="1"/>
  <c r="BD29" i="3"/>
  <c r="AL28" i="3"/>
  <c r="CG28" i="3" s="1"/>
  <c r="AL44" i="3"/>
  <c r="CG44" i="3" s="1"/>
  <c r="BE30" i="3"/>
  <c r="BF45" i="3"/>
  <c r="AN44" i="3"/>
  <c r="CI44" i="3" s="1"/>
  <c r="BE21" i="3"/>
  <c r="BD37" i="3"/>
  <c r="BE32" i="3"/>
  <c r="AN31" i="3"/>
  <c r="CI31" i="3" s="1"/>
  <c r="BE31" i="3"/>
  <c r="AM32" i="3"/>
  <c r="CH32" i="3" s="1"/>
  <c r="AO40" i="3"/>
  <c r="CJ40" i="3" s="1"/>
  <c r="BE41" i="3"/>
  <c r="BF44" i="3"/>
  <c r="AN30" i="3"/>
  <c r="CI30" i="3" s="1"/>
  <c r="AM20" i="3"/>
  <c r="CH20" i="3" s="1"/>
  <c r="AO45" i="3"/>
  <c r="CJ45" i="3" s="1"/>
  <c r="AM34" i="3"/>
  <c r="CH34" i="3" s="1"/>
  <c r="AL35" i="3"/>
  <c r="CG35" i="3" s="1"/>
  <c r="BD36" i="3"/>
  <c r="BD24" i="3"/>
  <c r="BD22" i="3"/>
  <c r="BG44" i="3"/>
  <c r="AL31" i="3"/>
  <c r="CG31" i="3" s="1"/>
  <c r="AM21" i="3"/>
  <c r="CH21" i="3" s="1"/>
  <c r="AL36" i="3"/>
  <c r="CG36" i="3" s="1"/>
  <c r="BE37" i="3"/>
  <c r="BF42" i="3"/>
  <c r="BD33" i="3"/>
  <c r="BE25" i="3"/>
  <c r="BE36" i="3"/>
  <c r="BG40" i="3"/>
  <c r="AL20" i="3"/>
  <c r="CG20" i="3" s="1"/>
  <c r="BD40" i="3"/>
  <c r="BD44" i="3"/>
  <c r="BE45" i="3"/>
  <c r="AL46" i="3"/>
  <c r="CG46" i="3" s="1"/>
  <c r="BF46" i="3"/>
  <c r="AL32" i="3"/>
  <c r="CG32" i="3" s="1"/>
  <c r="AO42" i="3"/>
  <c r="CJ42" i="3" s="1"/>
  <c r="BE34" i="3"/>
  <c r="BF28" i="3"/>
  <c r="BF34" i="3"/>
  <c r="AN35" i="3"/>
  <c r="CI35" i="3" s="1"/>
  <c r="AO43" i="3"/>
  <c r="CJ43" i="3" s="1"/>
  <c r="AN45" i="3"/>
  <c r="CI45" i="3" s="1"/>
  <c r="BD21" i="3"/>
  <c r="BE40" i="3"/>
  <c r="AM40" i="3"/>
  <c r="CH40" i="3" s="1"/>
  <c r="AM29" i="3"/>
  <c r="CH29" i="3" s="1"/>
  <c r="Z25" i="16"/>
  <c r="Z24" i="16"/>
  <c r="CH5" i="3"/>
  <c r="CG5" i="3"/>
  <c r="BC4" i="3"/>
  <c r="BC72" i="3"/>
  <c r="AK4" i="3"/>
  <c r="BC6" i="3"/>
  <c r="AK5" i="3"/>
  <c r="AK6" i="3"/>
  <c r="BC5" i="3"/>
  <c r="Z22" i="16" l="1"/>
  <c r="AG51" i="16" s="1"/>
  <c r="AK90" i="3"/>
  <c r="AK60" i="3"/>
  <c r="AK51" i="3"/>
  <c r="Z23" i="16"/>
  <c r="AG54" i="16" s="1"/>
  <c r="K32" i="14" s="1"/>
  <c r="AE62" i="16" s="1"/>
  <c r="BC64" i="3"/>
  <c r="BC85" i="3"/>
  <c r="BC48" i="3"/>
  <c r="BC50" i="3"/>
  <c r="AK55" i="3"/>
  <c r="AK48" i="3"/>
  <c r="BC59" i="3"/>
  <c r="BC56" i="3"/>
  <c r="BC52" i="3"/>
  <c r="BC78" i="3"/>
  <c r="AK57" i="3"/>
  <c r="CH55" i="3"/>
  <c r="CF55" i="3" s="1"/>
  <c r="BC68" i="3"/>
  <c r="AK54" i="3"/>
  <c r="CF8" i="3"/>
  <c r="BC14" i="3"/>
  <c r="AK71" i="3"/>
  <c r="AK74" i="3"/>
  <c r="CF6" i="3"/>
  <c r="AK8" i="3"/>
  <c r="BC41" i="3"/>
  <c r="BC30" i="3"/>
  <c r="BC67" i="3"/>
  <c r="BC60" i="3"/>
  <c r="AK49" i="3"/>
  <c r="BC80" i="3"/>
  <c r="BC77" i="3"/>
  <c r="BC57" i="3"/>
  <c r="AK78" i="3"/>
  <c r="BC84" i="3"/>
  <c r="BC69" i="3"/>
  <c r="AK50" i="3"/>
  <c r="BC82" i="3"/>
  <c r="AK91" i="3"/>
  <c r="BC74" i="3"/>
  <c r="BC81" i="3"/>
  <c r="AK70" i="3"/>
  <c r="BC49" i="3"/>
  <c r="AK84" i="3"/>
  <c r="CI78" i="3"/>
  <c r="CF78" i="3" s="1"/>
  <c r="AK80" i="3"/>
  <c r="AK69" i="3"/>
  <c r="CJ91" i="3"/>
  <c r="CF91" i="3" s="1"/>
  <c r="BC58" i="3"/>
  <c r="CG57" i="3"/>
  <c r="CF57" i="3" s="1"/>
  <c r="AK65" i="3"/>
  <c r="AK58" i="3"/>
  <c r="CH50" i="3"/>
  <c r="CF50" i="3" s="1"/>
  <c r="CG51" i="3"/>
  <c r="CF51" i="3" s="1"/>
  <c r="AK88" i="3"/>
  <c r="BC87" i="3"/>
  <c r="AK64" i="3"/>
  <c r="AK62" i="3"/>
  <c r="AK56" i="3"/>
  <c r="AK83" i="3"/>
  <c r="BC79" i="3"/>
  <c r="BC71" i="3"/>
  <c r="BC90" i="3"/>
  <c r="BC61" i="3"/>
  <c r="AK63" i="3"/>
  <c r="AK79" i="3"/>
  <c r="AK59" i="3"/>
  <c r="CI88" i="3"/>
  <c r="CF88" i="3" s="1"/>
  <c r="AK77" i="3"/>
  <c r="BC83" i="3"/>
  <c r="BC55" i="3"/>
  <c r="AK87" i="3"/>
  <c r="CG63" i="3"/>
  <c r="CF63" i="3" s="1"/>
  <c r="AK52" i="3"/>
  <c r="BC23" i="3"/>
  <c r="AK82" i="3"/>
  <c r="CF11" i="3"/>
  <c r="BC76" i="3"/>
  <c r="AK72" i="3"/>
  <c r="AK85" i="3"/>
  <c r="BC63" i="3"/>
  <c r="AK9" i="3"/>
  <c r="BC10" i="3"/>
  <c r="BC89" i="3"/>
  <c r="BC75" i="3"/>
  <c r="BC62" i="3"/>
  <c r="BC73" i="3"/>
  <c r="AK61" i="3"/>
  <c r="CI59" i="3"/>
  <c r="CF59" i="3" s="1"/>
  <c r="AK14" i="3"/>
  <c r="AK73" i="3"/>
  <c r="CG9" i="3"/>
  <c r="CF9" i="3" s="1"/>
  <c r="CG79" i="3"/>
  <c r="CF79" i="3" s="1"/>
  <c r="CH72" i="3"/>
  <c r="CF72" i="3" s="1"/>
  <c r="AK107" i="3"/>
  <c r="BC70" i="3"/>
  <c r="CF101" i="3"/>
  <c r="AK68" i="3"/>
  <c r="BC12" i="3"/>
  <c r="BC54" i="3"/>
  <c r="AK53" i="3"/>
  <c r="CF14" i="3"/>
  <c r="BC51" i="3"/>
  <c r="AK67" i="3"/>
  <c r="CJ85" i="3"/>
  <c r="CF85" i="3" s="1"/>
  <c r="AK89" i="3"/>
  <c r="BC66" i="3"/>
  <c r="BC102" i="3"/>
  <c r="BC18" i="3"/>
  <c r="BC16" i="3"/>
  <c r="CF10" i="3"/>
  <c r="BC88" i="3"/>
  <c r="BC86" i="3"/>
  <c r="BC91" i="3"/>
  <c r="AK81" i="3"/>
  <c r="BC65" i="3"/>
  <c r="CJ81" i="3"/>
  <c r="CF81" i="3" s="1"/>
  <c r="CG52" i="3"/>
  <c r="CF52" i="3" s="1"/>
  <c r="AK10" i="3"/>
  <c r="AK24" i="3"/>
  <c r="CF107" i="3"/>
  <c r="CF15" i="3"/>
  <c r="AK75" i="3"/>
  <c r="CG90" i="3"/>
  <c r="CF90" i="3" s="1"/>
  <c r="CG77" i="3"/>
  <c r="CF77" i="3" s="1"/>
  <c r="AK130" i="3"/>
  <c r="CJ75" i="3"/>
  <c r="CF75" i="3" s="1"/>
  <c r="BC29" i="3"/>
  <c r="CI74" i="3"/>
  <c r="CF74" i="3" s="1"/>
  <c r="BC8" i="3"/>
  <c r="AK76" i="3"/>
  <c r="AK66" i="3"/>
  <c r="CF23" i="3"/>
  <c r="BC25" i="3"/>
  <c r="BC26" i="3"/>
  <c r="AK86" i="3"/>
  <c r="AK15" i="3"/>
  <c r="CI86" i="3"/>
  <c r="CF86" i="3" s="1"/>
  <c r="CF118" i="3"/>
  <c r="BC93" i="3"/>
  <c r="BC9" i="3"/>
  <c r="AK18" i="3"/>
  <c r="AK17" i="3"/>
  <c r="CH82" i="3"/>
  <c r="CF82" i="3" s="1"/>
  <c r="AK16" i="3"/>
  <c r="AK103" i="3"/>
  <c r="AK118" i="3"/>
  <c r="CG18" i="3"/>
  <c r="CF18" i="3" s="1"/>
  <c r="BC120" i="3"/>
  <c r="BC15" i="3"/>
  <c r="BC13" i="3"/>
  <c r="CF36" i="3"/>
  <c r="CF66" i="3"/>
  <c r="CF99" i="3"/>
  <c r="BC38" i="3"/>
  <c r="BC11" i="3"/>
  <c r="BC96" i="3"/>
  <c r="BC103" i="3"/>
  <c r="CF109" i="3"/>
  <c r="CF148" i="3"/>
  <c r="CF24" i="3"/>
  <c r="CF48" i="3"/>
  <c r="BC104" i="3"/>
  <c r="BC105" i="3"/>
  <c r="AK37" i="3"/>
  <c r="CF13" i="3"/>
  <c r="BC17" i="3"/>
  <c r="CF12" i="3"/>
  <c r="CF131" i="3"/>
  <c r="BC97" i="3"/>
  <c r="BC95" i="3"/>
  <c r="BC100" i="3"/>
  <c r="AK145" i="3"/>
  <c r="CF97" i="3"/>
  <c r="AK131" i="3"/>
  <c r="BC134" i="3"/>
  <c r="CF26" i="3"/>
  <c r="BC114" i="3"/>
  <c r="CF112" i="3"/>
  <c r="BC121" i="3"/>
  <c r="CF146" i="3"/>
  <c r="BC146" i="3"/>
  <c r="CF95" i="3"/>
  <c r="AK109" i="3"/>
  <c r="AK93" i="3"/>
  <c r="AK138" i="3"/>
  <c r="CF27" i="3"/>
  <c r="CF93" i="3"/>
  <c r="CF21" i="3"/>
  <c r="BC107" i="3"/>
  <c r="CI37" i="3"/>
  <c r="CF37" i="3" s="1"/>
  <c r="AK27" i="3"/>
  <c r="AK141" i="3"/>
  <c r="BC35" i="3"/>
  <c r="AK101" i="3"/>
  <c r="AK13" i="3"/>
  <c r="BC94" i="3"/>
  <c r="AK11" i="3"/>
  <c r="BC127" i="3"/>
  <c r="BC133" i="3"/>
  <c r="BC99" i="3"/>
  <c r="AK39" i="3"/>
  <c r="BC27" i="3"/>
  <c r="AK102" i="3"/>
  <c r="CF62" i="3"/>
  <c r="BC20" i="3"/>
  <c r="AK95" i="3"/>
  <c r="BC139" i="3"/>
  <c r="CF143" i="3"/>
  <c r="BC124" i="3"/>
  <c r="BC138" i="3"/>
  <c r="CF110" i="3"/>
  <c r="CF105" i="3"/>
  <c r="BC129" i="3"/>
  <c r="BC117" i="3"/>
  <c r="BC109" i="3"/>
  <c r="BC115" i="3"/>
  <c r="CF125" i="3"/>
  <c r="CF113" i="3"/>
  <c r="CF136" i="3"/>
  <c r="AK112" i="3"/>
  <c r="BC24" i="3"/>
  <c r="AK146" i="3"/>
  <c r="AK127" i="3"/>
  <c r="AK26" i="3"/>
  <c r="CF49" i="3"/>
  <c r="AK136" i="3"/>
  <c r="AK110" i="3"/>
  <c r="CF64" i="3"/>
  <c r="CF106" i="3"/>
  <c r="CF96" i="3"/>
  <c r="CF100" i="3"/>
  <c r="CI39" i="3"/>
  <c r="CF39" i="3" s="1"/>
  <c r="AK99" i="3"/>
  <c r="CF144" i="3"/>
  <c r="AK38" i="3"/>
  <c r="CF41" i="3"/>
  <c r="BC123" i="3"/>
  <c r="AK113" i="3"/>
  <c r="BC43" i="3"/>
  <c r="BC131" i="3"/>
  <c r="BC45" i="3"/>
  <c r="BC136" i="3"/>
  <c r="AK143" i="3"/>
  <c r="AK144" i="3"/>
  <c r="AK12" i="3"/>
  <c r="AK125" i="3"/>
  <c r="BC113" i="3"/>
  <c r="CF69" i="3"/>
  <c r="BC141" i="3"/>
  <c r="BC116" i="3"/>
  <c r="BC147" i="3"/>
  <c r="BC111" i="3"/>
  <c r="AK108" i="3"/>
  <c r="BC126" i="3"/>
  <c r="BC132" i="3"/>
  <c r="BC118" i="3"/>
  <c r="CF124" i="3"/>
  <c r="BC140" i="3"/>
  <c r="CF103" i="3"/>
  <c r="CF94" i="3"/>
  <c r="BC108" i="3"/>
  <c r="CF111" i="3"/>
  <c r="CF133" i="3"/>
  <c r="CF147" i="3"/>
  <c r="BC130" i="3"/>
  <c r="CF38" i="3"/>
  <c r="AK105" i="3"/>
  <c r="AK124" i="3"/>
  <c r="CF28" i="3"/>
  <c r="AK94" i="3"/>
  <c r="CF42" i="3"/>
  <c r="CF117" i="3"/>
  <c r="CF126" i="3"/>
  <c r="CF139" i="3"/>
  <c r="CF104" i="3"/>
  <c r="AK148" i="3"/>
  <c r="CF102" i="3"/>
  <c r="AK133" i="3"/>
  <c r="CF137" i="3"/>
  <c r="AK106" i="3"/>
  <c r="AK96" i="3"/>
  <c r="AK111" i="3"/>
  <c r="AK115" i="3"/>
  <c r="CI108" i="3"/>
  <c r="CF108" i="3" s="1"/>
  <c r="CF115" i="3"/>
  <c r="AK142" i="3"/>
  <c r="AK100" i="3"/>
  <c r="CF130" i="3"/>
  <c r="CF116" i="3"/>
  <c r="CF127" i="3"/>
  <c r="AK137" i="3"/>
  <c r="BC101" i="3"/>
  <c r="BC144" i="3"/>
  <c r="AK119" i="3"/>
  <c r="BC135" i="3"/>
  <c r="CF80" i="3"/>
  <c r="CF58" i="3"/>
  <c r="BC21" i="3"/>
  <c r="CF119" i="3"/>
  <c r="BC42" i="3"/>
  <c r="CF54" i="3"/>
  <c r="CF53" i="3"/>
  <c r="AK116" i="3"/>
  <c r="AK25" i="3"/>
  <c r="AK147" i="3"/>
  <c r="AK98" i="3"/>
  <c r="CF61" i="3"/>
  <c r="CF87" i="3"/>
  <c r="CF67" i="3"/>
  <c r="CF65" i="3"/>
  <c r="CF60" i="3"/>
  <c r="BC137" i="3"/>
  <c r="CF30" i="3"/>
  <c r="BC39" i="3"/>
  <c r="CF70" i="3"/>
  <c r="BC143" i="3"/>
  <c r="CF73" i="3"/>
  <c r="CF68" i="3"/>
  <c r="CF132" i="3"/>
  <c r="BC125" i="3"/>
  <c r="BC145" i="3"/>
  <c r="BC128" i="3"/>
  <c r="BC148" i="3"/>
  <c r="BC142" i="3"/>
  <c r="BC106" i="3"/>
  <c r="CF145" i="3"/>
  <c r="CF122" i="3"/>
  <c r="AK134" i="3"/>
  <c r="BC119" i="3"/>
  <c r="BC110" i="3"/>
  <c r="CF128" i="3"/>
  <c r="BC112" i="3"/>
  <c r="CF140" i="3"/>
  <c r="BC98" i="3"/>
  <c r="CF135" i="3"/>
  <c r="CF129" i="3"/>
  <c r="CF29" i="3"/>
  <c r="BC122" i="3"/>
  <c r="AK30" i="3"/>
  <c r="AK117" i="3"/>
  <c r="BC36" i="3"/>
  <c r="AK139" i="3"/>
  <c r="BC22" i="3"/>
  <c r="AK129" i="3"/>
  <c r="AK135" i="3"/>
  <c r="CF142" i="3"/>
  <c r="AK121" i="3"/>
  <c r="AK33" i="3"/>
  <c r="BC33" i="3"/>
  <c r="AK126" i="3"/>
  <c r="AK132" i="3"/>
  <c r="AK114" i="3"/>
  <c r="CF121" i="3"/>
  <c r="AK140" i="3"/>
  <c r="AK128" i="3"/>
  <c r="CI134" i="3"/>
  <c r="CF134" i="3" s="1"/>
  <c r="AK122" i="3"/>
  <c r="AK120" i="3"/>
  <c r="AK97" i="3"/>
  <c r="CF120" i="3"/>
  <c r="AK123" i="3"/>
  <c r="AK41" i="3"/>
  <c r="CF138" i="3"/>
  <c r="CF114" i="3"/>
  <c r="AK104" i="3"/>
  <c r="AK23" i="3"/>
  <c r="CF22" i="3"/>
  <c r="BC44" i="3"/>
  <c r="AK45" i="3"/>
  <c r="BC34" i="3"/>
  <c r="CF45" i="3"/>
  <c r="CF33" i="3"/>
  <c r="CF56" i="3"/>
  <c r="CF35" i="3"/>
  <c r="CF25" i="3"/>
  <c r="AK35" i="3"/>
  <c r="CF31" i="3"/>
  <c r="BC32" i="3"/>
  <c r="CF40" i="3"/>
  <c r="AK28" i="3"/>
  <c r="AK22" i="3"/>
  <c r="AK40" i="3"/>
  <c r="AK36" i="3"/>
  <c r="BC28" i="3"/>
  <c r="BC46" i="3"/>
  <c r="BC31" i="3"/>
  <c r="CF34" i="3"/>
  <c r="CF76" i="3"/>
  <c r="CF83" i="3"/>
  <c r="CF84" i="3"/>
  <c r="CF71" i="3"/>
  <c r="CF89" i="3"/>
  <c r="AK21" i="3"/>
  <c r="AK29" i="3"/>
  <c r="BC37" i="3"/>
  <c r="AK34" i="3"/>
  <c r="AK44" i="3"/>
  <c r="BC40" i="3"/>
  <c r="CF20" i="3"/>
  <c r="CF32" i="3"/>
  <c r="CF43" i="3"/>
  <c r="CF46" i="3"/>
  <c r="AK46" i="3"/>
  <c r="AK43" i="3"/>
  <c r="AK20" i="3"/>
  <c r="AK32" i="3"/>
  <c r="AK42" i="3"/>
  <c r="AK31" i="3"/>
  <c r="AB24" i="16"/>
  <c r="AB25" i="16"/>
  <c r="AB23" i="16"/>
  <c r="AB22" i="16"/>
  <c r="CF141" i="3"/>
  <c r="AG53" i="16"/>
  <c r="K31" i="14" s="1"/>
  <c r="AE61" i="16" s="1"/>
  <c r="CF44" i="3"/>
  <c r="CF16" i="3"/>
  <c r="CF5" i="3"/>
  <c r="CF123" i="3"/>
  <c r="CF17" i="3"/>
  <c r="AG52" i="16" l="1"/>
  <c r="K30" i="14" s="1"/>
  <c r="AE60" i="16" s="1"/>
  <c r="AI54" i="16"/>
  <c r="M32" i="14" s="1"/>
  <c r="I32" i="14"/>
  <c r="AI53" i="16"/>
  <c r="AI51" i="16"/>
  <c r="I31" i="14"/>
  <c r="K29" i="14"/>
  <c r="R118" i="3"/>
  <c r="R134" i="3"/>
  <c r="R131" i="3"/>
  <c r="R119" i="3"/>
  <c r="R135" i="3"/>
  <c r="R122" i="3"/>
  <c r="R132" i="3"/>
  <c r="R123" i="3"/>
  <c r="R120" i="3"/>
  <c r="R133" i="3"/>
  <c r="R125" i="3"/>
  <c r="R130" i="3"/>
  <c r="R128" i="3"/>
  <c r="R126" i="3"/>
  <c r="R121" i="3"/>
  <c r="R127" i="3"/>
  <c r="R136" i="3"/>
  <c r="R124" i="3"/>
  <c r="R137" i="3"/>
  <c r="R129" i="3"/>
  <c r="I30" i="14" l="1"/>
  <c r="AE59" i="16"/>
  <c r="D42" i="14"/>
  <c r="V130" i="3"/>
  <c r="V126" i="3"/>
  <c r="V134" i="3"/>
  <c r="V132" i="3"/>
  <c r="V128" i="3"/>
  <c r="V124" i="3"/>
  <c r="V120" i="3"/>
  <c r="V136" i="3"/>
  <c r="V118" i="3"/>
  <c r="V122" i="3"/>
  <c r="K34" i="14"/>
  <c r="I29" i="14"/>
  <c r="I34" i="14" l="1"/>
  <c r="I35" i="14" s="1"/>
  <c r="K35" i="14"/>
  <c r="X126" i="3"/>
  <c r="CA25" i="3" s="1"/>
  <c r="X130" i="3"/>
  <c r="BJ89" i="3" s="1"/>
  <c r="X134" i="3"/>
  <c r="CA113" i="3" s="1"/>
  <c r="X118" i="3"/>
  <c r="BJ5" i="3" s="1"/>
  <c r="X122" i="3"/>
  <c r="BK12" i="3" s="1"/>
  <c r="CB38" i="3" l="1"/>
  <c r="CC42" i="3"/>
  <c r="BK38" i="3"/>
  <c r="BM41" i="3"/>
  <c r="CC37" i="3"/>
  <c r="CA23" i="3"/>
  <c r="CC44" i="3"/>
  <c r="CB26" i="3"/>
  <c r="CC46" i="3"/>
  <c r="BK25" i="3"/>
  <c r="BL28" i="3"/>
  <c r="BM45" i="3"/>
  <c r="CB44" i="3"/>
  <c r="BM40" i="3"/>
  <c r="CA43" i="3"/>
  <c r="CC31" i="3"/>
  <c r="BL32" i="3"/>
  <c r="CB32" i="3"/>
  <c r="BJ25" i="3"/>
  <c r="BJ15" i="3"/>
  <c r="CC129" i="3"/>
  <c r="BJ40" i="3"/>
  <c r="CB20" i="3"/>
  <c r="CE143" i="3"/>
  <c r="CC29" i="3"/>
  <c r="BJ35" i="3"/>
  <c r="BK46" i="3"/>
  <c r="BK45" i="3"/>
  <c r="CD43" i="3"/>
  <c r="BK27" i="3"/>
  <c r="CA37" i="3"/>
  <c r="CA31" i="3"/>
  <c r="CA27" i="3"/>
  <c r="BK32" i="3"/>
  <c r="BJ23" i="3"/>
  <c r="BK44" i="3"/>
  <c r="BL34" i="3"/>
  <c r="CA36" i="3"/>
  <c r="CA28" i="3"/>
  <c r="CC38" i="3"/>
  <c r="BJ30" i="3"/>
  <c r="CC40" i="3"/>
  <c r="BJ27" i="3"/>
  <c r="CD42" i="3"/>
  <c r="CB23" i="3"/>
  <c r="BJ39" i="3"/>
  <c r="BJ31" i="3"/>
  <c r="CC30" i="3"/>
  <c r="BJ43" i="3"/>
  <c r="CA46" i="3"/>
  <c r="BL42" i="3"/>
  <c r="CB42" i="3"/>
  <c r="BK33" i="3"/>
  <c r="CC39" i="3"/>
  <c r="BM43" i="3"/>
  <c r="CB25" i="3"/>
  <c r="BZ25" i="3" s="1"/>
  <c r="CC45" i="3"/>
  <c r="BL46" i="3"/>
  <c r="BL39" i="3"/>
  <c r="BL59" i="3"/>
  <c r="CB35" i="3"/>
  <c r="BK28" i="3"/>
  <c r="BL38" i="3"/>
  <c r="BM46" i="3"/>
  <c r="CB46" i="3"/>
  <c r="BJ45" i="3"/>
  <c r="CB40" i="3"/>
  <c r="CB37" i="3"/>
  <c r="CA62" i="3"/>
  <c r="CD41" i="3"/>
  <c r="BK34" i="3"/>
  <c r="BL44" i="3"/>
  <c r="BK24" i="3"/>
  <c r="CC34" i="3"/>
  <c r="CB29" i="3"/>
  <c r="CB27" i="3"/>
  <c r="BL30" i="3"/>
  <c r="CA20" i="3"/>
  <c r="BL43" i="3"/>
  <c r="BK22" i="3"/>
  <c r="BK84" i="3"/>
  <c r="CA26" i="3"/>
  <c r="BJ38" i="3"/>
  <c r="BK26" i="3"/>
  <c r="BJ34" i="3"/>
  <c r="BM42" i="3"/>
  <c r="CD44" i="3"/>
  <c r="BK37" i="3"/>
  <c r="CC32" i="3"/>
  <c r="CA35" i="3"/>
  <c r="CA41" i="3"/>
  <c r="BK80" i="3"/>
  <c r="BK30" i="3"/>
  <c r="CD46" i="3"/>
  <c r="BJ33" i="3"/>
  <c r="BJ22" i="3"/>
  <c r="CD45" i="3"/>
  <c r="CA45" i="3"/>
  <c r="CB21" i="3"/>
  <c r="CA22" i="3"/>
  <c r="CB22" i="3"/>
  <c r="CB91" i="3"/>
  <c r="CA50" i="3"/>
  <c r="BK29" i="3"/>
  <c r="CD40" i="3"/>
  <c r="BK42" i="3"/>
  <c r="CB30" i="3"/>
  <c r="BL35" i="3"/>
  <c r="BJ26" i="3"/>
  <c r="BK21" i="3"/>
  <c r="CA38" i="3"/>
  <c r="CB41" i="3"/>
  <c r="BK58" i="3"/>
  <c r="BJ119" i="3"/>
  <c r="BJ4" i="3"/>
  <c r="CB136" i="3"/>
  <c r="CA12" i="3"/>
  <c r="BK121" i="3"/>
  <c r="BK43" i="3"/>
  <c r="BJ44" i="3"/>
  <c r="CC36" i="3"/>
  <c r="CC33" i="3"/>
  <c r="BM44" i="3"/>
  <c r="CA39" i="3"/>
  <c r="CB39" i="3"/>
  <c r="BJ42" i="3"/>
  <c r="CA33" i="3"/>
  <c r="CA30" i="3"/>
  <c r="CB33" i="3"/>
  <c r="CA42" i="3"/>
  <c r="CB31" i="3"/>
  <c r="BL36" i="3"/>
  <c r="BJ29" i="3"/>
  <c r="BL102" i="3"/>
  <c r="BJ126" i="3"/>
  <c r="CB43" i="3"/>
  <c r="BJ37" i="3"/>
  <c r="BK36" i="3"/>
  <c r="BL37" i="3"/>
  <c r="BK41" i="3"/>
  <c r="BL45" i="3"/>
  <c r="BL31" i="3"/>
  <c r="CB34" i="3"/>
  <c r="CB24" i="3"/>
  <c r="CA44" i="3"/>
  <c r="BK39" i="3"/>
  <c r="BJ41" i="3"/>
  <c r="BJ36" i="3"/>
  <c r="BL29" i="3"/>
  <c r="BJ20" i="3"/>
  <c r="BJ24" i="3"/>
  <c r="CC41" i="3"/>
  <c r="CC28" i="3"/>
  <c r="BJ28" i="3"/>
  <c r="CC147" i="3"/>
  <c r="BN140" i="3"/>
  <c r="BK40" i="3"/>
  <c r="CA34" i="3"/>
  <c r="BK31" i="3"/>
  <c r="CC35" i="3"/>
  <c r="BL40" i="3"/>
  <c r="CA40" i="3"/>
  <c r="CA21" i="3"/>
  <c r="BK35" i="3"/>
  <c r="CB36" i="3"/>
  <c r="BL33" i="3"/>
  <c r="BL41" i="3"/>
  <c r="CA29" i="3"/>
  <c r="BK20" i="3"/>
  <c r="BJ46" i="3"/>
  <c r="BJ21" i="3"/>
  <c r="CB45" i="3"/>
  <c r="CB28" i="3"/>
  <c r="BJ32" i="3"/>
  <c r="BM122" i="3"/>
  <c r="BL107" i="3"/>
  <c r="CC43" i="3"/>
  <c r="CA32" i="3"/>
  <c r="CA24" i="3"/>
  <c r="BK23" i="3"/>
  <c r="CA6" i="3"/>
  <c r="CC76" i="3"/>
  <c r="CA55" i="3"/>
  <c r="CB50" i="3"/>
  <c r="BL88" i="3"/>
  <c r="BK85" i="3"/>
  <c r="CC16" i="3"/>
  <c r="CB18" i="3"/>
  <c r="CA10" i="3"/>
  <c r="BM77" i="3"/>
  <c r="CB15" i="3"/>
  <c r="BK57" i="3"/>
  <c r="BL17" i="3"/>
  <c r="CD87" i="3"/>
  <c r="CD86" i="3"/>
  <c r="CC87" i="3"/>
  <c r="CB6" i="3"/>
  <c r="BK16" i="3"/>
  <c r="CA16" i="3"/>
  <c r="BK18" i="3"/>
  <c r="CB5" i="3"/>
  <c r="CC73" i="3"/>
  <c r="BM85" i="3"/>
  <c r="CB4" i="3"/>
  <c r="BK8" i="3"/>
  <c r="BK11" i="3"/>
  <c r="BJ61" i="3"/>
  <c r="BJ68" i="3"/>
  <c r="BK5" i="3"/>
  <c r="BI5" i="3" s="1"/>
  <c r="BK6" i="3"/>
  <c r="BK4" i="3"/>
  <c r="BK14" i="3"/>
  <c r="BJ10" i="3"/>
  <c r="BJ76" i="3"/>
  <c r="BK70" i="3"/>
  <c r="BL69" i="3"/>
  <c r="CA4" i="3"/>
  <c r="CA5" i="3"/>
  <c r="CA15" i="3"/>
  <c r="CA53" i="3"/>
  <c r="BJ6" i="3"/>
  <c r="BK71" i="3"/>
  <c r="CC75" i="3"/>
  <c r="BJ65" i="3"/>
  <c r="CA83" i="3"/>
  <c r="BJ74" i="3"/>
  <c r="BK51" i="3"/>
  <c r="BJ91" i="3"/>
  <c r="CB71" i="3"/>
  <c r="BJ73" i="3"/>
  <c r="BK48" i="3"/>
  <c r="BJ143" i="3"/>
  <c r="CA130" i="3"/>
  <c r="BJ146" i="3"/>
  <c r="BJ132" i="3"/>
  <c r="CA142" i="3"/>
  <c r="BJ128" i="3"/>
  <c r="BM128" i="3"/>
  <c r="CA109" i="3"/>
  <c r="CB113" i="3"/>
  <c r="BK132" i="3"/>
  <c r="BJ98" i="3"/>
  <c r="BK119" i="3"/>
  <c r="CB143" i="3"/>
  <c r="CC88" i="3"/>
  <c r="CA66" i="3"/>
  <c r="BK73" i="3"/>
  <c r="BL90" i="3"/>
  <c r="BJ130" i="3"/>
  <c r="CA97" i="3"/>
  <c r="BJ131" i="3"/>
  <c r="CA101" i="3"/>
  <c r="BJ94" i="3"/>
  <c r="CE146" i="3"/>
  <c r="CA129" i="3"/>
  <c r="BN139" i="3"/>
  <c r="BK105" i="3"/>
  <c r="CD148" i="3"/>
  <c r="CB108" i="3"/>
  <c r="CC105" i="3"/>
  <c r="BL112" i="3"/>
  <c r="BJ106" i="3"/>
  <c r="BK94" i="3"/>
  <c r="CA125" i="3"/>
  <c r="CA112" i="3"/>
  <c r="CA103" i="3"/>
  <c r="BK112" i="3"/>
  <c r="BK109" i="3"/>
  <c r="CB123" i="3"/>
  <c r="CB130" i="3"/>
  <c r="BJ108" i="3"/>
  <c r="BK96" i="3"/>
  <c r="CC67" i="3"/>
  <c r="BK66" i="3"/>
  <c r="BK90" i="3"/>
  <c r="CE140" i="3"/>
  <c r="CA106" i="3"/>
  <c r="BJ120" i="3"/>
  <c r="CA131" i="3"/>
  <c r="CA126" i="3"/>
  <c r="BJ136" i="3"/>
  <c r="CA110" i="3"/>
  <c r="BM131" i="3"/>
  <c r="BK139" i="3"/>
  <c r="CC145" i="3"/>
  <c r="CA122" i="3"/>
  <c r="CA77" i="3"/>
  <c r="CC133" i="3"/>
  <c r="CB140" i="3"/>
  <c r="CE142" i="3"/>
  <c r="CC137" i="3"/>
  <c r="CD124" i="3"/>
  <c r="CA128" i="3"/>
  <c r="BM140" i="3"/>
  <c r="CD134" i="3"/>
  <c r="BK134" i="3"/>
  <c r="CC115" i="3"/>
  <c r="CC143" i="3"/>
  <c r="BJ116" i="3"/>
  <c r="CA144" i="3"/>
  <c r="BK130" i="3"/>
  <c r="BJ112" i="3"/>
  <c r="BJ104" i="3"/>
  <c r="BJ133" i="3"/>
  <c r="BL136" i="3"/>
  <c r="CB112" i="3"/>
  <c r="BM136" i="3"/>
  <c r="BM127" i="3"/>
  <c r="CA127" i="3"/>
  <c r="CD139" i="3"/>
  <c r="BM130" i="3"/>
  <c r="CB131" i="3"/>
  <c r="CA147" i="3"/>
  <c r="BJ141" i="3"/>
  <c r="CD132" i="3"/>
  <c r="CA105" i="3"/>
  <c r="CA104" i="3"/>
  <c r="CB117" i="3"/>
  <c r="CC113" i="3"/>
  <c r="CD125" i="3"/>
  <c r="CD122" i="3"/>
  <c r="CD141" i="3"/>
  <c r="CC136" i="3"/>
  <c r="CB138" i="3"/>
  <c r="CA107" i="3"/>
  <c r="BJ72" i="3"/>
  <c r="BJ57" i="3"/>
  <c r="CB49" i="3"/>
  <c r="CB144" i="3"/>
  <c r="CA111" i="3"/>
  <c r="CB111" i="3"/>
  <c r="CB105" i="3"/>
  <c r="BJ137" i="3"/>
  <c r="BJ138" i="3"/>
  <c r="CA140" i="3"/>
  <c r="BL117" i="3"/>
  <c r="BL141" i="3"/>
  <c r="BM139" i="3"/>
  <c r="BK107" i="3"/>
  <c r="CC125" i="3"/>
  <c r="BM145" i="3"/>
  <c r="CB139" i="3"/>
  <c r="BJ105" i="3"/>
  <c r="CA93" i="3"/>
  <c r="CA108" i="3"/>
  <c r="CC111" i="3"/>
  <c r="CC128" i="3"/>
  <c r="BJ103" i="3"/>
  <c r="BK140" i="3"/>
  <c r="CB93" i="3"/>
  <c r="BM141" i="3"/>
  <c r="BM134" i="3"/>
  <c r="CB100" i="3"/>
  <c r="BN143" i="3"/>
  <c r="BL143" i="3"/>
  <c r="CB125" i="3"/>
  <c r="BL130" i="3"/>
  <c r="CB107" i="3"/>
  <c r="CA116" i="3"/>
  <c r="BL142" i="3"/>
  <c r="BL137" i="3"/>
  <c r="BL119" i="3"/>
  <c r="BL148" i="3"/>
  <c r="BL140" i="3"/>
  <c r="BL135" i="3"/>
  <c r="CC124" i="3"/>
  <c r="CD142" i="3"/>
  <c r="BK108" i="3"/>
  <c r="CC106" i="3"/>
  <c r="BL147" i="3"/>
  <c r="BJ96" i="3"/>
  <c r="BM147" i="3"/>
  <c r="BM148" i="3"/>
  <c r="BL15" i="3"/>
  <c r="CC116" i="3"/>
  <c r="CB12" i="3"/>
  <c r="CA119" i="3"/>
  <c r="CB145" i="3"/>
  <c r="CA143" i="3"/>
  <c r="BK110" i="3"/>
  <c r="CA133" i="3"/>
  <c r="BL131" i="3"/>
  <c r="BJ123" i="3"/>
  <c r="CA137" i="3"/>
  <c r="BJ101" i="3"/>
  <c r="CB121" i="3"/>
  <c r="CA115" i="3"/>
  <c r="BJ100" i="3"/>
  <c r="CB127" i="3"/>
  <c r="CA138" i="3"/>
  <c r="BJ144" i="3"/>
  <c r="BK123" i="3"/>
  <c r="BL106" i="3"/>
  <c r="CD128" i="3"/>
  <c r="BK131" i="3"/>
  <c r="BK111" i="3"/>
  <c r="BJ107" i="3"/>
  <c r="CD131" i="3"/>
  <c r="BK101" i="3"/>
  <c r="BL125" i="3"/>
  <c r="BN141" i="3"/>
  <c r="CC146" i="3"/>
  <c r="CB148" i="3"/>
  <c r="CB134" i="3"/>
  <c r="CB101" i="3"/>
  <c r="CB126" i="3"/>
  <c r="BK142" i="3"/>
  <c r="CB102" i="3"/>
  <c r="BK138" i="3"/>
  <c r="CA94" i="3"/>
  <c r="BM120" i="3"/>
  <c r="BJ114" i="3"/>
  <c r="BL111" i="3"/>
  <c r="BJ118" i="3"/>
  <c r="CB132" i="3"/>
  <c r="BL123" i="3"/>
  <c r="CB119" i="3"/>
  <c r="BM143" i="3"/>
  <c r="CC108" i="3"/>
  <c r="CC107" i="3"/>
  <c r="BM125" i="3"/>
  <c r="CB110" i="3"/>
  <c r="BL118" i="3"/>
  <c r="BJ16" i="3"/>
  <c r="BJ18" i="3"/>
  <c r="CA132" i="3"/>
  <c r="CA120" i="3"/>
  <c r="BJ139" i="3"/>
  <c r="CB146" i="3"/>
  <c r="CA117" i="3"/>
  <c r="BL121" i="3"/>
  <c r="BJ145" i="3"/>
  <c r="CB141" i="3"/>
  <c r="CA135" i="3"/>
  <c r="CB104" i="3"/>
  <c r="CA141" i="3"/>
  <c r="CD130" i="3"/>
  <c r="CA96" i="3"/>
  <c r="CA148" i="3"/>
  <c r="BJ97" i="3"/>
  <c r="CD145" i="3"/>
  <c r="CA114" i="3"/>
  <c r="BL146" i="3"/>
  <c r="BL105" i="3"/>
  <c r="BL116" i="3"/>
  <c r="CC101" i="3"/>
  <c r="BK137" i="3"/>
  <c r="CC104" i="3"/>
  <c r="BJ115" i="3"/>
  <c r="BJ127" i="3"/>
  <c r="BM132" i="3"/>
  <c r="CC102" i="3"/>
  <c r="BK103" i="3"/>
  <c r="BN144" i="3"/>
  <c r="CC135" i="3"/>
  <c r="BK122" i="3"/>
  <c r="CB99" i="3"/>
  <c r="CC122" i="3"/>
  <c r="BL129" i="3"/>
  <c r="BK98" i="3"/>
  <c r="CC144" i="3"/>
  <c r="BJ95" i="3"/>
  <c r="BK118" i="3"/>
  <c r="CB94" i="3"/>
  <c r="BL103" i="3"/>
  <c r="BL126" i="3"/>
  <c r="BL122" i="3"/>
  <c r="CB135" i="3"/>
  <c r="CB120" i="3"/>
  <c r="CB17" i="3"/>
  <c r="BJ8" i="3"/>
  <c r="BM121" i="3"/>
  <c r="CB13" i="3"/>
  <c r="BJ148" i="3"/>
  <c r="BM133" i="3"/>
  <c r="BJ99" i="3"/>
  <c r="CC119" i="3"/>
  <c r="CC123" i="3"/>
  <c r="CB147" i="3"/>
  <c r="CC131" i="3"/>
  <c r="CD146" i="3"/>
  <c r="CD147" i="3"/>
  <c r="BJ117" i="3"/>
  <c r="CE137" i="3"/>
  <c r="BK117" i="3"/>
  <c r="CA99" i="3"/>
  <c r="CB106" i="3"/>
  <c r="BL110" i="3"/>
  <c r="BL133" i="3"/>
  <c r="CA136" i="3"/>
  <c r="BK124" i="3"/>
  <c r="BM144" i="3"/>
  <c r="CD127" i="3"/>
  <c r="CE147" i="3"/>
  <c r="BK146" i="3"/>
  <c r="BL114" i="3"/>
  <c r="BK143" i="3"/>
  <c r="CC140" i="3"/>
  <c r="BJ142" i="3"/>
  <c r="CD123" i="3"/>
  <c r="BK114" i="3"/>
  <c r="CD120" i="3"/>
  <c r="CC141" i="3"/>
  <c r="BK145" i="3"/>
  <c r="CE138" i="3"/>
  <c r="BK106" i="3"/>
  <c r="CA98" i="3"/>
  <c r="CB118" i="3"/>
  <c r="BK147" i="3"/>
  <c r="CE141" i="3"/>
  <c r="BM123" i="3"/>
  <c r="BK99" i="3"/>
  <c r="CD136" i="3"/>
  <c r="CD129" i="3"/>
  <c r="BK120" i="3"/>
  <c r="BN142" i="3"/>
  <c r="BM138" i="3"/>
  <c r="BK95" i="3"/>
  <c r="BL124" i="3"/>
  <c r="CD140" i="3"/>
  <c r="CD137" i="3"/>
  <c r="BL115" i="3"/>
  <c r="BJ102" i="3"/>
  <c r="BN138" i="3"/>
  <c r="CA134" i="3"/>
  <c r="BJ122" i="3"/>
  <c r="BJ109" i="3"/>
  <c r="CA121" i="3"/>
  <c r="CB124" i="3"/>
  <c r="CA145" i="3"/>
  <c r="CA139" i="3"/>
  <c r="BN145" i="3"/>
  <c r="BL128" i="3"/>
  <c r="CA100" i="3"/>
  <c r="CC118" i="3"/>
  <c r="CD119" i="3"/>
  <c r="CA146" i="3"/>
  <c r="BJ110" i="3"/>
  <c r="CC103" i="3"/>
  <c r="BK125" i="3"/>
  <c r="BM146" i="3"/>
  <c r="BK129" i="3"/>
  <c r="CC134" i="3"/>
  <c r="BL113" i="3"/>
  <c r="CB98" i="3"/>
  <c r="BL132" i="3"/>
  <c r="BK148" i="3"/>
  <c r="BJ93" i="3"/>
  <c r="BK113" i="3"/>
  <c r="CC148" i="3"/>
  <c r="CE148" i="3"/>
  <c r="BJ121" i="3"/>
  <c r="BM129" i="3"/>
  <c r="CD135" i="3"/>
  <c r="CC142" i="3"/>
  <c r="CB97" i="3"/>
  <c r="BL109" i="3"/>
  <c r="CC121" i="3"/>
  <c r="BN137" i="3"/>
  <c r="CC130" i="3"/>
  <c r="CB129" i="3"/>
  <c r="BK133" i="3"/>
  <c r="CD133" i="3"/>
  <c r="BN146" i="3"/>
  <c r="BK126" i="3"/>
  <c r="CC18" i="3"/>
  <c r="BJ9" i="3"/>
  <c r="CB16" i="3"/>
  <c r="BJ113" i="3"/>
  <c r="BJ134" i="3"/>
  <c r="CA124" i="3"/>
  <c r="CC138" i="3"/>
  <c r="BM135" i="3"/>
  <c r="CB115" i="3"/>
  <c r="CA95" i="3"/>
  <c r="BJ140" i="3"/>
  <c r="CA118" i="3"/>
  <c r="BL127" i="3"/>
  <c r="BJ111" i="3"/>
  <c r="CA102" i="3"/>
  <c r="BK97" i="3"/>
  <c r="CB122" i="3"/>
  <c r="BN147" i="3"/>
  <c r="BL108" i="3"/>
  <c r="CE145" i="3"/>
  <c r="CC114" i="3"/>
  <c r="CA123" i="3"/>
  <c r="BK93" i="3"/>
  <c r="BK116" i="3"/>
  <c r="BM142" i="3"/>
  <c r="CB137" i="3"/>
  <c r="BL138" i="3"/>
  <c r="CB103" i="3"/>
  <c r="BJ125" i="3"/>
  <c r="CB96" i="3"/>
  <c r="BK127" i="3"/>
  <c r="BK102" i="3"/>
  <c r="CC117" i="3"/>
  <c r="CD121" i="3"/>
  <c r="BK141" i="3"/>
  <c r="BM126" i="3"/>
  <c r="BK136" i="3"/>
  <c r="BK104" i="3"/>
  <c r="CC139" i="3"/>
  <c r="BJ147" i="3"/>
  <c r="BK128" i="3"/>
  <c r="BJ129" i="3"/>
  <c r="CE139" i="3"/>
  <c r="CD143" i="3"/>
  <c r="CB109" i="3"/>
  <c r="BL120" i="3"/>
  <c r="CE144" i="3"/>
  <c r="CB95" i="3"/>
  <c r="CC132" i="3"/>
  <c r="CD144" i="3"/>
  <c r="BJ11" i="3"/>
  <c r="BK10" i="3"/>
  <c r="CC126" i="3"/>
  <c r="CB10" i="3"/>
  <c r="CC74" i="3"/>
  <c r="CA71" i="3"/>
  <c r="BJ86" i="3"/>
  <c r="CA64" i="3"/>
  <c r="CC72" i="3"/>
  <c r="CB74" i="3"/>
  <c r="BL145" i="3"/>
  <c r="BJ124" i="3"/>
  <c r="CB133" i="3"/>
  <c r="CC120" i="3"/>
  <c r="BM124" i="3"/>
  <c r="CB114" i="3"/>
  <c r="CB116" i="3"/>
  <c r="CC110" i="3"/>
  <c r="CC127" i="3"/>
  <c r="CC109" i="3"/>
  <c r="CB11" i="3"/>
  <c r="CC15" i="3"/>
  <c r="CA18" i="3"/>
  <c r="W8" i="3"/>
  <c r="W10" i="3" s="1"/>
  <c r="CD126" i="3"/>
  <c r="CA69" i="3"/>
  <c r="BJ54" i="3"/>
  <c r="BM84" i="3"/>
  <c r="CB58" i="3"/>
  <c r="BM91" i="3"/>
  <c r="CB57" i="3"/>
  <c r="CA79" i="3"/>
  <c r="BL139" i="3"/>
  <c r="BM119" i="3"/>
  <c r="CC112" i="3"/>
  <c r="BK115" i="3"/>
  <c r="BL134" i="3"/>
  <c r="BL101" i="3"/>
  <c r="CD138" i="3"/>
  <c r="BK17" i="3"/>
  <c r="CB14" i="3"/>
  <c r="CA14" i="3"/>
  <c r="BM137" i="3"/>
  <c r="BL16" i="3"/>
  <c r="CA8" i="3"/>
  <c r="BK15" i="3"/>
  <c r="CA13" i="3"/>
  <c r="CC79" i="3"/>
  <c r="BJ85" i="3"/>
  <c r="CD85" i="3"/>
  <c r="BJ53" i="3"/>
  <c r="BK56" i="3"/>
  <c r="BJ88" i="3"/>
  <c r="CB56" i="3"/>
  <c r="BJ83" i="3"/>
  <c r="CA56" i="3"/>
  <c r="CC84" i="3"/>
  <c r="BJ17" i="3"/>
  <c r="BK9" i="3"/>
  <c r="BJ13" i="3"/>
  <c r="BJ12" i="3"/>
  <c r="BI12" i="3" s="1"/>
  <c r="BJ14" i="3"/>
  <c r="CC69" i="3"/>
  <c r="BJ56" i="3"/>
  <c r="CA60" i="3"/>
  <c r="CA51" i="3"/>
  <c r="BJ80" i="3"/>
  <c r="BJ70" i="3"/>
  <c r="CA74" i="3"/>
  <c r="CB89" i="3"/>
  <c r="BM88" i="3"/>
  <c r="CA86" i="3"/>
  <c r="CD91" i="3"/>
  <c r="CB128" i="3"/>
  <c r="BK135" i="3"/>
  <c r="BK100" i="3"/>
  <c r="BN148" i="3"/>
  <c r="BJ135" i="3"/>
  <c r="CB142" i="3"/>
  <c r="CC17" i="3"/>
  <c r="BL144" i="3"/>
  <c r="CA11" i="3"/>
  <c r="BL18" i="3"/>
  <c r="CB9" i="3"/>
  <c r="CC14" i="3"/>
  <c r="CA17" i="3"/>
  <c r="BK144" i="3"/>
  <c r="CA61" i="3"/>
  <c r="CA73" i="3"/>
  <c r="CA68" i="3"/>
  <c r="CC56" i="3"/>
  <c r="BL91" i="3"/>
  <c r="BJ81" i="3"/>
  <c r="BJ60" i="3"/>
  <c r="CC83" i="3"/>
  <c r="BJ59" i="3"/>
  <c r="BL62" i="3"/>
  <c r="CB54" i="3"/>
  <c r="BL14" i="3"/>
  <c r="CB8" i="3"/>
  <c r="BK13" i="3"/>
  <c r="CA9" i="3"/>
  <c r="BL104" i="3"/>
  <c r="CA78" i="3"/>
  <c r="BJ78" i="3"/>
  <c r="BJ66" i="3"/>
  <c r="BM82" i="3"/>
  <c r="CA67" i="3"/>
  <c r="CB83" i="3"/>
  <c r="CA72" i="3"/>
  <c r="BM83" i="3"/>
  <c r="BL68" i="3"/>
  <c r="CB52" i="3"/>
  <c r="CA90" i="3"/>
  <c r="CA84" i="3"/>
  <c r="BL74" i="3"/>
  <c r="BK68" i="3"/>
  <c r="CA57" i="3"/>
  <c r="CA82" i="3"/>
  <c r="CB63" i="3"/>
  <c r="BL71" i="3"/>
  <c r="CD81" i="3"/>
  <c r="CC66" i="3"/>
  <c r="CC77" i="3"/>
  <c r="CD84" i="3"/>
  <c r="CB51" i="3"/>
  <c r="BJ71" i="3"/>
  <c r="BJ64" i="3"/>
  <c r="CC85" i="3"/>
  <c r="BK55" i="3"/>
  <c r="CB81" i="3"/>
  <c r="BK72" i="3"/>
  <c r="BK79" i="3"/>
  <c r="CC91" i="3"/>
  <c r="BK59" i="3"/>
  <c r="BJ63" i="3"/>
  <c r="CA85" i="3"/>
  <c r="BJ87" i="3"/>
  <c r="BL58" i="3"/>
  <c r="BK83" i="3"/>
  <c r="CD89" i="3"/>
  <c r="BK74" i="3"/>
  <c r="CB87" i="3"/>
  <c r="BJ48" i="3"/>
  <c r="BI48" i="3" s="1"/>
  <c r="CC57" i="3"/>
  <c r="CA63" i="3"/>
  <c r="CA81" i="3"/>
  <c r="CC65" i="3"/>
  <c r="BL66" i="3"/>
  <c r="CC86" i="3"/>
  <c r="BK87" i="3"/>
  <c r="BL63" i="3"/>
  <c r="CC82" i="3"/>
  <c r="CB73" i="3"/>
  <c r="CD74" i="3"/>
  <c r="BJ58" i="3"/>
  <c r="CA65" i="3"/>
  <c r="CA75" i="3"/>
  <c r="BJ69" i="3"/>
  <c r="CA91" i="3"/>
  <c r="BL70" i="3"/>
  <c r="BL81" i="3"/>
  <c r="BL89" i="3"/>
  <c r="CA87" i="3"/>
  <c r="BK88" i="3"/>
  <c r="CB85" i="3"/>
  <c r="BL60" i="3"/>
  <c r="CB48" i="3"/>
  <c r="BJ62" i="3"/>
  <c r="BM79" i="3"/>
  <c r="BJ79" i="3"/>
  <c r="CC68" i="3"/>
  <c r="CC81" i="3"/>
  <c r="BK91" i="3"/>
  <c r="CB78" i="3"/>
  <c r="BM90" i="3"/>
  <c r="BJ55" i="3"/>
  <c r="BJ75" i="3"/>
  <c r="BJ67" i="3"/>
  <c r="CB90" i="3"/>
  <c r="BM80" i="3"/>
  <c r="BM76" i="3"/>
  <c r="BK60" i="3"/>
  <c r="BL85" i="3"/>
  <c r="BK53" i="3"/>
  <c r="BK52" i="3"/>
  <c r="BK81" i="3"/>
  <c r="BM89" i="3"/>
  <c r="CC80" i="3"/>
  <c r="CA76" i="3"/>
  <c r="CB70" i="3"/>
  <c r="CB69" i="3"/>
  <c r="CB86" i="3"/>
  <c r="CA89" i="3"/>
  <c r="BJ84" i="3"/>
  <c r="CB65" i="3"/>
  <c r="CB72" i="3"/>
  <c r="CB88" i="3"/>
  <c r="CB82" i="3"/>
  <c r="BL75" i="3"/>
  <c r="CC59" i="3"/>
  <c r="BK77" i="3"/>
  <c r="CA80" i="3"/>
  <c r="BL82" i="3"/>
  <c r="CB79" i="3"/>
  <c r="BK76" i="3"/>
  <c r="BK75" i="3"/>
  <c r="BJ52" i="3"/>
  <c r="CA70" i="3"/>
  <c r="BL79" i="3"/>
  <c r="CA88" i="3"/>
  <c r="BL76" i="3"/>
  <c r="CB66" i="3"/>
  <c r="BL78" i="3"/>
  <c r="BK65" i="3"/>
  <c r="BM75" i="3"/>
  <c r="CC90" i="3"/>
  <c r="CA59" i="3"/>
  <c r="CB59" i="3"/>
  <c r="CB53" i="3"/>
  <c r="BL84" i="3"/>
  <c r="BJ82" i="3"/>
  <c r="BL64" i="3"/>
  <c r="BL57" i="3"/>
  <c r="BK82" i="3"/>
  <c r="CB80" i="3"/>
  <c r="CD90" i="3"/>
  <c r="CC62" i="3"/>
  <c r="BJ50" i="3"/>
  <c r="BL61" i="3"/>
  <c r="BL83" i="3"/>
  <c r="BK69" i="3"/>
  <c r="CC61" i="3"/>
  <c r="BK78" i="3"/>
  <c r="CA54" i="3"/>
  <c r="CD83" i="3"/>
  <c r="CC71" i="3"/>
  <c r="CC89" i="3"/>
  <c r="BJ51" i="3"/>
  <c r="CB62" i="3"/>
  <c r="BM81" i="3"/>
  <c r="CC70" i="3"/>
  <c r="BL77" i="3"/>
  <c r="CD88" i="3"/>
  <c r="CB84" i="3"/>
  <c r="CD82" i="3"/>
  <c r="BL67" i="3"/>
  <c r="CD77" i="3"/>
  <c r="BL73" i="3"/>
  <c r="BL56" i="3"/>
  <c r="CD75" i="3"/>
  <c r="BM78" i="3"/>
  <c r="CB68" i="3"/>
  <c r="CC58" i="3"/>
  <c r="BL80" i="3"/>
  <c r="CB76" i="3"/>
  <c r="BK64" i="3"/>
  <c r="CD80" i="3"/>
  <c r="BK62" i="3"/>
  <c r="CB77" i="3"/>
  <c r="BK61" i="3"/>
  <c r="CC78" i="3"/>
  <c r="BJ49" i="3"/>
  <c r="BL65" i="3"/>
  <c r="BK86" i="3"/>
  <c r="CA52" i="3"/>
  <c r="BM74" i="3"/>
  <c r="BK54" i="3"/>
  <c r="CC63" i="3"/>
  <c r="CA49" i="3"/>
  <c r="BK89" i="3"/>
  <c r="BK63" i="3"/>
  <c r="CB67" i="3"/>
  <c r="CB60" i="3"/>
  <c r="CD78" i="3"/>
  <c r="BL86" i="3"/>
  <c r="BK67" i="3"/>
  <c r="BM87" i="3"/>
  <c r="CB55" i="3"/>
  <c r="CB75" i="3"/>
  <c r="CA48" i="3"/>
  <c r="CB61" i="3"/>
  <c r="CB64" i="3"/>
  <c r="CC64" i="3"/>
  <c r="CA58" i="3"/>
  <c r="BJ77" i="3"/>
  <c r="BK49" i="3"/>
  <c r="BL87" i="3"/>
  <c r="CD76" i="3"/>
  <c r="CC60" i="3"/>
  <c r="BK50" i="3"/>
  <c r="BM86" i="3"/>
  <c r="BJ90" i="3"/>
  <c r="BL72" i="3"/>
  <c r="CD79" i="3"/>
  <c r="AI52" i="16"/>
  <c r="M30" i="14" s="1"/>
  <c r="M29" i="14"/>
  <c r="BZ21" i="3" l="1"/>
  <c r="BI63" i="3"/>
  <c r="AA25" i="16"/>
  <c r="BI25" i="3"/>
  <c r="BI22" i="3"/>
  <c r="BZ6" i="3"/>
  <c r="AA23" i="16"/>
  <c r="AA24" i="16"/>
  <c r="BZ12" i="3"/>
  <c r="BZ23" i="3"/>
  <c r="BZ26" i="3"/>
  <c r="BI29" i="3"/>
  <c r="BZ20" i="3"/>
  <c r="BZ31" i="3"/>
  <c r="BI30" i="3"/>
  <c r="BZ13" i="3"/>
  <c r="BI32" i="3"/>
  <c r="BI31" i="3"/>
  <c r="BI27" i="3"/>
  <c r="BI11" i="3"/>
  <c r="BI94" i="3"/>
  <c r="BZ30" i="3"/>
  <c r="BZ29" i="3"/>
  <c r="BI57" i="3"/>
  <c r="BZ32" i="3"/>
  <c r="BI24" i="3"/>
  <c r="BI43" i="3"/>
  <c r="BZ27" i="3"/>
  <c r="BI46" i="3"/>
  <c r="BI106" i="3"/>
  <c r="BI21" i="3"/>
  <c r="BI28" i="3"/>
  <c r="BI6" i="3"/>
  <c r="BZ35" i="3"/>
  <c r="BZ34" i="3"/>
  <c r="BZ46" i="3"/>
  <c r="BI54" i="3"/>
  <c r="BZ24" i="3"/>
  <c r="BI37" i="3"/>
  <c r="BZ94" i="3"/>
  <c r="BZ38" i="3"/>
  <c r="BZ99" i="3"/>
  <c r="BZ97" i="3"/>
  <c r="BI98" i="3"/>
  <c r="BZ45" i="3"/>
  <c r="BI35" i="3"/>
  <c r="BI38" i="3"/>
  <c r="BI4" i="3"/>
  <c r="BZ41" i="3"/>
  <c r="BZ40" i="3"/>
  <c r="BI39" i="3"/>
  <c r="BI42" i="3"/>
  <c r="BZ114" i="3"/>
  <c r="BI23" i="3"/>
  <c r="BZ10" i="3"/>
  <c r="BI10" i="3"/>
  <c r="BI8" i="3"/>
  <c r="BZ11" i="3"/>
  <c r="BI139" i="3"/>
  <c r="BZ18" i="3"/>
  <c r="BZ39" i="3"/>
  <c r="BZ22" i="3"/>
  <c r="BI26" i="3"/>
  <c r="BZ42" i="3"/>
  <c r="BI44" i="3"/>
  <c r="BI45" i="3"/>
  <c r="BZ105" i="3"/>
  <c r="BI36" i="3"/>
  <c r="BI93" i="3"/>
  <c r="BI100" i="3"/>
  <c r="AA22" i="16"/>
  <c r="BZ53" i="3"/>
  <c r="BI99" i="3"/>
  <c r="BZ134" i="3"/>
  <c r="BI41" i="3"/>
  <c r="BZ33" i="3"/>
  <c r="BZ101" i="3"/>
  <c r="BI95" i="3"/>
  <c r="BZ117" i="3"/>
  <c r="BZ107" i="3"/>
  <c r="BZ96" i="3"/>
  <c r="BZ123" i="3"/>
  <c r="BZ110" i="3"/>
  <c r="BI140" i="3"/>
  <c r="BZ147" i="3"/>
  <c r="BI33" i="3"/>
  <c r="BI34" i="3"/>
  <c r="BI15" i="3"/>
  <c r="BZ28" i="3"/>
  <c r="BZ37" i="3"/>
  <c r="BZ16" i="3"/>
  <c r="BZ140" i="3"/>
  <c r="BZ50" i="3"/>
  <c r="BZ55" i="3"/>
  <c r="BZ15" i="3"/>
  <c r="BZ95" i="3"/>
  <c r="BI124" i="3"/>
  <c r="BZ129" i="3"/>
  <c r="BZ44" i="3"/>
  <c r="BZ43" i="3"/>
  <c r="BI20" i="3"/>
  <c r="BI40" i="3"/>
  <c r="BZ113" i="3"/>
  <c r="BZ36" i="3"/>
  <c r="BZ109" i="3"/>
  <c r="BI88" i="3"/>
  <c r="BZ4" i="3"/>
  <c r="BZ93" i="3"/>
  <c r="BZ5" i="3"/>
  <c r="BI110" i="3"/>
  <c r="BZ102" i="3"/>
  <c r="BZ125" i="3"/>
  <c r="BZ138" i="3"/>
  <c r="BZ145" i="3"/>
  <c r="BI18" i="3"/>
  <c r="BZ100" i="3"/>
  <c r="BZ122" i="3"/>
  <c r="BZ49" i="3"/>
  <c r="BI97" i="3"/>
  <c r="BI16" i="3"/>
  <c r="BI122" i="3"/>
  <c r="BI96" i="3"/>
  <c r="BZ111" i="3"/>
  <c r="BZ69" i="3"/>
  <c r="BZ106" i="3"/>
  <c r="BI126" i="3"/>
  <c r="BI113" i="3"/>
  <c r="BI128" i="3"/>
  <c r="BI138" i="3"/>
  <c r="BI114" i="3"/>
  <c r="BZ119" i="3"/>
  <c r="BI103" i="3"/>
  <c r="BZ130" i="3"/>
  <c r="BZ146" i="3"/>
  <c r="BI125" i="3"/>
  <c r="BI130" i="3"/>
  <c r="BI115" i="3"/>
  <c r="BI104" i="3"/>
  <c r="BZ124" i="3"/>
  <c r="BZ103" i="3"/>
  <c r="BZ139" i="3"/>
  <c r="BZ98" i="3"/>
  <c r="BI133" i="3"/>
  <c r="BI132" i="3"/>
  <c r="BZ115" i="3"/>
  <c r="BI112" i="3"/>
  <c r="BZ112" i="3"/>
  <c r="BZ71" i="3"/>
  <c r="BI111" i="3"/>
  <c r="BZ133" i="3"/>
  <c r="BI148" i="3"/>
  <c r="BI102" i="3"/>
  <c r="BI117" i="3"/>
  <c r="BZ104" i="3"/>
  <c r="BZ120" i="3"/>
  <c r="BZ143" i="3"/>
  <c r="BI143" i="3"/>
  <c r="BZ128" i="3"/>
  <c r="BI107" i="3"/>
  <c r="BZ136" i="3"/>
  <c r="BZ132" i="3"/>
  <c r="BI136" i="3"/>
  <c r="BI116" i="3"/>
  <c r="BI119" i="3"/>
  <c r="BZ127" i="3"/>
  <c r="BI120" i="3"/>
  <c r="BZ108" i="3"/>
  <c r="BI131" i="3"/>
  <c r="BZ52" i="3"/>
  <c r="BI17" i="3"/>
  <c r="BI85" i="3"/>
  <c r="BI129" i="3"/>
  <c r="BI51" i="3"/>
  <c r="BZ8" i="3"/>
  <c r="BI13" i="3"/>
  <c r="BI145" i="3"/>
  <c r="BI68" i="3"/>
  <c r="BI59" i="3"/>
  <c r="BZ121" i="3"/>
  <c r="BZ137" i="3"/>
  <c r="BI147" i="3"/>
  <c r="BZ148" i="3"/>
  <c r="BZ118" i="3"/>
  <c r="BI109" i="3"/>
  <c r="BZ141" i="3"/>
  <c r="BI146" i="3"/>
  <c r="BI118" i="3"/>
  <c r="BZ135" i="3"/>
  <c r="BI121" i="3"/>
  <c r="BI142" i="3"/>
  <c r="BI101" i="3"/>
  <c r="BI123" i="3"/>
  <c r="BZ142" i="3"/>
  <c r="BZ116" i="3"/>
  <c r="BI141" i="3"/>
  <c r="BI105" i="3"/>
  <c r="BZ131" i="3"/>
  <c r="BI108" i="3"/>
  <c r="BZ51" i="3"/>
  <c r="BI90" i="3"/>
  <c r="BI66" i="3"/>
  <c r="BZ14" i="3"/>
  <c r="BZ144" i="3"/>
  <c r="BZ54" i="3"/>
  <c r="BI9" i="3"/>
  <c r="BI137" i="3"/>
  <c r="BZ126" i="3"/>
  <c r="BZ48" i="3"/>
  <c r="BI73" i="3"/>
  <c r="BI72" i="3"/>
  <c r="BZ66" i="3"/>
  <c r="BI134" i="3"/>
  <c r="BI127" i="3"/>
  <c r="BI56" i="3"/>
  <c r="BI53" i="3"/>
  <c r="BZ67" i="3"/>
  <c r="BI70" i="3"/>
  <c r="BI144" i="3"/>
  <c r="BZ83" i="3"/>
  <c r="BZ74" i="3"/>
  <c r="BI91" i="3"/>
  <c r="BZ91" i="3"/>
  <c r="BZ9" i="3"/>
  <c r="BZ17" i="3"/>
  <c r="BI135" i="3"/>
  <c r="BI14" i="3"/>
  <c r="BZ56" i="3"/>
  <c r="BZ84" i="3"/>
  <c r="BZ73" i="3"/>
  <c r="BZ72" i="3"/>
  <c r="BI74" i="3"/>
  <c r="BZ86" i="3"/>
  <c r="BZ57" i="3"/>
  <c r="BI60" i="3"/>
  <c r="BI55" i="3"/>
  <c r="BZ85" i="3"/>
  <c r="BI71" i="3"/>
  <c r="BZ61" i="3"/>
  <c r="BI62" i="3"/>
  <c r="BZ77" i="3"/>
  <c r="BI76" i="3"/>
  <c r="BI79" i="3"/>
  <c r="BI52" i="3"/>
  <c r="BI78" i="3"/>
  <c r="BZ88" i="3"/>
  <c r="BI82" i="3"/>
  <c r="BZ90" i="3"/>
  <c r="BI58" i="3"/>
  <c r="BZ59" i="3"/>
  <c r="BZ63" i="3"/>
  <c r="BZ81" i="3"/>
  <c r="BI84" i="3"/>
  <c r="BI81" i="3"/>
  <c r="BI61" i="3"/>
  <c r="BZ68" i="3"/>
  <c r="BZ65" i="3"/>
  <c r="BZ89" i="3"/>
  <c r="BZ80" i="3"/>
  <c r="BZ75" i="3"/>
  <c r="BZ62" i="3"/>
  <c r="BZ79" i="3"/>
  <c r="BI89" i="3"/>
  <c r="BI80" i="3"/>
  <c r="BI83" i="3"/>
  <c r="BI50" i="3"/>
  <c r="BI77" i="3"/>
  <c r="BZ60" i="3"/>
  <c r="BI64" i="3"/>
  <c r="BI65" i="3"/>
  <c r="BI75" i="3"/>
  <c r="BZ70" i="3"/>
  <c r="BI69" i="3"/>
  <c r="BZ87" i="3"/>
  <c r="BZ64" i="3"/>
  <c r="BZ76" i="3"/>
  <c r="BZ82" i="3"/>
  <c r="BI49" i="3"/>
  <c r="BI87" i="3"/>
  <c r="BZ78" i="3"/>
  <c r="BZ58" i="3"/>
  <c r="BI67" i="3"/>
  <c r="BI86" i="3"/>
  <c r="M31" i="14"/>
  <c r="M34" i="14" s="1"/>
  <c r="AH54" i="16" l="1"/>
  <c r="L32" i="14" s="1"/>
  <c r="AF62" i="16" s="1"/>
  <c r="AH52" i="16"/>
  <c r="L30" i="14" s="1"/>
  <c r="AH53" i="16"/>
  <c r="L31" i="14" s="1"/>
  <c r="AH51" i="16"/>
  <c r="L29" i="14" s="1"/>
  <c r="J32" i="14" l="1"/>
  <c r="J30" i="14"/>
  <c r="AF60" i="16"/>
  <c r="J29" i="14"/>
  <c r="AF59" i="16"/>
  <c r="AI59" i="16" s="1"/>
  <c r="J31" i="14"/>
  <c r="AF61" i="16"/>
  <c r="AI62" i="16"/>
  <c r="L34" i="14"/>
  <c r="L35" i="14" s="1"/>
  <c r="AI61" i="16" l="1"/>
  <c r="AI60" i="16"/>
  <c r="J34" i="14"/>
  <c r="J35" i="14" s="1"/>
  <c r="AI64" i="16" l="1"/>
  <c r="D44" i="14" s="1"/>
</calcChain>
</file>

<file path=xl/comments1.xml><?xml version="1.0" encoding="utf-8"?>
<comments xmlns="http://schemas.openxmlformats.org/spreadsheetml/2006/main">
  <authors>
    <author>Matthew Morris</author>
  </authors>
  <commentList>
    <comment ref="A1" authorId="0" shapeId="0">
      <text>
        <r>
          <rPr>
            <b/>
            <sz val="9"/>
            <color indexed="81"/>
            <rFont val="Tahoma"/>
            <family val="2"/>
          </rPr>
          <t>Matthew Morris:</t>
        </r>
        <r>
          <rPr>
            <sz val="9"/>
            <color indexed="81"/>
            <rFont val="Tahoma"/>
            <family val="2"/>
          </rPr>
          <t xml:space="preserve">
Please just derate based on piping length only, not height.  But please also capture these maximum lengths.  Also, please capture/cap max heights in adjacent tab.</t>
        </r>
      </text>
    </comment>
  </commentList>
</comments>
</file>

<file path=xl/sharedStrings.xml><?xml version="1.0" encoding="utf-8"?>
<sst xmlns="http://schemas.openxmlformats.org/spreadsheetml/2006/main" count="2479" uniqueCount="419">
  <si>
    <t>Heating</t>
  </si>
  <si>
    <t>Cooling</t>
  </si>
  <si>
    <t>Calculate per indoor</t>
  </si>
  <si>
    <t>Redefine variable</t>
  </si>
  <si>
    <t>Calculate indoor with new variable</t>
  </si>
  <si>
    <t>Derate for altitude</t>
  </si>
  <si>
    <t>Derate for piping</t>
  </si>
  <si>
    <t>Divide by number of units in the system</t>
  </si>
  <si>
    <t>COOLING PERFORMANCE DATA</t>
  </si>
  <si>
    <t>Model</t>
  </si>
  <si>
    <t>Outdoor conditions (DB)</t>
  </si>
  <si>
    <t>Indoor Conditions
DB</t>
  </si>
  <si>
    <t>95F
(35C)</t>
  </si>
  <si>
    <t>DB</t>
  </si>
  <si>
    <t>WB</t>
  </si>
  <si>
    <t>TC</t>
  </si>
  <si>
    <t>SC</t>
  </si>
  <si>
    <t>Input</t>
  </si>
  <si>
    <t>LEGEND</t>
  </si>
  <si>
    <t>DB - Dry Bulb</t>
  </si>
  <si>
    <t>WB - Wet Bulb</t>
  </si>
  <si>
    <t>TC - Total Net Capacity (1000 Btu/hour)</t>
  </si>
  <si>
    <t>SC - Sensible Capacity (1000 Btu/hour)</t>
  </si>
  <si>
    <t>Input - Total Power (kW)</t>
  </si>
  <si>
    <t>HEATING PERFORMANCE DATA</t>
  </si>
  <si>
    <t>Indoor Conditions DB</t>
  </si>
  <si>
    <t>COP</t>
  </si>
  <si>
    <t>COP - W/W</t>
  </si>
  <si>
    <t>INDOOR DB</t>
  </si>
  <si>
    <t>Match outdoor size</t>
  </si>
  <si>
    <t>Interpolate &amp; Extrapolate based on indoor and outdoor conditions</t>
  </si>
  <si>
    <t xml:space="preserve">Size </t>
  </si>
  <si>
    <t>y</t>
  </si>
  <si>
    <t>Indoor</t>
  </si>
  <si>
    <t>x</t>
  </si>
  <si>
    <t>Outdoor</t>
  </si>
  <si>
    <t>Total Cooling</t>
  </si>
  <si>
    <t>Altitude</t>
  </si>
  <si>
    <t>Altitude (ft)</t>
  </si>
  <si>
    <t>NOTE</t>
  </si>
  <si>
    <t>Light commercial</t>
    <phoneticPr fontId="3" type="noConversion"/>
  </si>
  <si>
    <t>Capacity</t>
    <phoneticPr fontId="3" type="noConversion"/>
  </si>
  <si>
    <t>Max.Length(m)</t>
    <phoneticPr fontId="3" type="noConversion"/>
  </si>
  <si>
    <t>Max.Height(m)</t>
    <phoneticPr fontId="3" type="noConversion"/>
  </si>
  <si>
    <t>12K</t>
  </si>
  <si>
    <t>18K</t>
  </si>
  <si>
    <t>24K</t>
  </si>
  <si>
    <t>30K</t>
  </si>
  <si>
    <t>36K</t>
  </si>
  <si>
    <t>42K</t>
  </si>
  <si>
    <t>48K</t>
  </si>
  <si>
    <t>55K/60K</t>
    <phoneticPr fontId="3" type="noConversion"/>
  </si>
  <si>
    <t>Cooling</t>
    <phoneticPr fontId="3" type="noConversion"/>
  </si>
  <si>
    <t>Heating</t>
    <phoneticPr fontId="3" type="noConversion"/>
  </si>
  <si>
    <t>Indoor Unit Sizes</t>
  </si>
  <si>
    <t>Variables of indoor</t>
  </si>
  <si>
    <t>Size</t>
  </si>
  <si>
    <t>No. of Zones</t>
  </si>
  <si>
    <t>Cooling Capacity (Btu/h)</t>
    <phoneticPr fontId="3" type="noConversion"/>
  </si>
  <si>
    <t>Heating Capacity (Btu/h)</t>
  </si>
  <si>
    <t>Zone 1</t>
  </si>
  <si>
    <t>Zone 2</t>
  </si>
  <si>
    <t>Zone 3</t>
  </si>
  <si>
    <t>Zone 4</t>
  </si>
  <si>
    <t>Zone 5</t>
  </si>
  <si>
    <t xml:space="preserve">36K </t>
  </si>
  <si>
    <t>Total Capacity</t>
  </si>
  <si>
    <t xml:space="preserve">High altitude correction factor </t>
  </si>
  <si>
    <t>file:///\\cusiif05.carrier.utc.com\Secured\Marketing\DLS-VRF\Software\Carrier%20TCB%20Software%20Issues\Old-DNU\855%20MGR%20Caps%20Cosolidated\855%20MGR%20Caps%2011-6-18update\Altitude%20function%20of%20ST.pptx</t>
  </si>
  <si>
    <t>Toshiba</t>
  </si>
  <si>
    <t>meter</t>
  </si>
  <si>
    <t>feet</t>
  </si>
  <si>
    <t>Capacity correction (Indoor) =  Indoor capacity X correction factor</t>
  </si>
  <si>
    <t>Capacity correction (Outdoor) = Outdoor capacity X correction factor</t>
  </si>
  <si>
    <t>NOMINAL COMBINATIONS</t>
  </si>
  <si>
    <t>High wall 40MAQ</t>
  </si>
  <si>
    <t>SIZE</t>
  </si>
  <si>
    <t>Outdoor Unit Selection</t>
  </si>
  <si>
    <t>Outdoor Design Conditions (F)</t>
  </si>
  <si>
    <t>Piping size and charge Information</t>
  </si>
  <si>
    <t>38MGRQ30D--3</t>
  </si>
  <si>
    <t>Indoor Unit Type</t>
  </si>
  <si>
    <t>Additional Ref. Charge (oz)</t>
  </si>
  <si>
    <t>Room Name</t>
  </si>
  <si>
    <t>Model Number</t>
  </si>
  <si>
    <t>Rated Cooling Capacity</t>
  </si>
  <si>
    <t>Rated Heating Capacity</t>
  </si>
  <si>
    <t>Bedroom 1</t>
  </si>
  <si>
    <t>40MBDQ09---3</t>
  </si>
  <si>
    <t xml:space="preserve">Bedroom 2 </t>
  </si>
  <si>
    <t>40MAQB09B--3</t>
  </si>
  <si>
    <t>Errors And Warnings</t>
  </si>
  <si>
    <t>Defrost Correction</t>
  </si>
  <si>
    <t>Product Line up</t>
  </si>
  <si>
    <t>OUTDOOR Cool Design Temp (°F)</t>
  </si>
  <si>
    <t>OUTDOOR Heat Design Temp (°F)</t>
  </si>
  <si>
    <t>INTERPOLATION</t>
  </si>
  <si>
    <t>EXTRAPOLATION</t>
  </si>
  <si>
    <t>INTERPOLATION OR EXTRAPOLATION</t>
  </si>
  <si>
    <t>CAPACITY</t>
  </si>
  <si>
    <t>COOLING ESTIMATED CAPACITY CAPPED</t>
  </si>
  <si>
    <t>HEATING ESTIMATED CAPACITY CAPPED</t>
  </si>
  <si>
    <t>COOLING CALCULATION UNCAPPED</t>
  </si>
  <si>
    <t>COOLING CAPPED CAPACITY BASED ON INDOOR UNIT</t>
  </si>
  <si>
    <t>Total Heating</t>
  </si>
  <si>
    <t>COOLING ORIGINAL ESTIMATED CAPACITY</t>
  </si>
  <si>
    <t>HEATING CAPPED CAPACITY BASED ON INDOOR UNIT</t>
  </si>
  <si>
    <t>HEATING ORIGINAL ESTIMATED CAPACITY</t>
  </si>
  <si>
    <t>HEATING CALCULATION UNCAPPED</t>
  </si>
  <si>
    <t>SCR</t>
  </si>
  <si>
    <t>SENSIBLE ESTIMATED CAPACITY BASED ON RATIO</t>
  </si>
  <si>
    <t>SELECTION OF INTERPOLATION OR EXTRAPOLATION</t>
  </si>
  <si>
    <t>Altitude(feet)</t>
  </si>
  <si>
    <t>Total</t>
  </si>
  <si>
    <t>Altitude De-rate Table</t>
  </si>
  <si>
    <t>Piping Length Derate Tables</t>
  </si>
  <si>
    <t>Minimum Length</t>
  </si>
  <si>
    <t>Maximum Length</t>
  </si>
  <si>
    <t>Cooling Derate</t>
  </si>
  <si>
    <t>Heating Derate</t>
  </si>
  <si>
    <t>Meters</t>
  </si>
  <si>
    <t>Feet</t>
  </si>
  <si>
    <t>Piping to furthest FCU</t>
  </si>
  <si>
    <t>Capacity Reduction</t>
  </si>
  <si>
    <t>% of Capacity</t>
  </si>
  <si>
    <t>Outdoor Unit Size</t>
  </si>
  <si>
    <t>Total Derate</t>
  </si>
  <si>
    <t>Outdoor Unit Model</t>
  </si>
  <si>
    <t>38MGRQ18B--3</t>
  </si>
  <si>
    <t>38MGRQ24C--3</t>
  </si>
  <si>
    <t>38MGRQ36D--3</t>
  </si>
  <si>
    <t>38MGRQ48E--3</t>
  </si>
  <si>
    <t>Outdoor Model number</t>
  </si>
  <si>
    <t>12+12+12+12+12</t>
    <phoneticPr fontId="5" type="noConversion"/>
  </si>
  <si>
    <t>9+12+12+12+18</t>
    <phoneticPr fontId="5" type="noConversion"/>
  </si>
  <si>
    <t>9+12+12+12+12</t>
    <phoneticPr fontId="5" type="noConversion"/>
  </si>
  <si>
    <t>9+9+12+12+18</t>
    <phoneticPr fontId="5" type="noConversion"/>
  </si>
  <si>
    <t>9+9+12+12+12</t>
    <phoneticPr fontId="5" type="noConversion"/>
  </si>
  <si>
    <t>9+9+9+18+18</t>
    <phoneticPr fontId="5" type="noConversion"/>
  </si>
  <si>
    <t>9+9+9+12+18</t>
    <phoneticPr fontId="5" type="noConversion"/>
  </si>
  <si>
    <t>9+9+9+12+12</t>
    <phoneticPr fontId="5" type="noConversion"/>
  </si>
  <si>
    <t>9+9+9+9+24</t>
    <phoneticPr fontId="5" type="noConversion"/>
  </si>
  <si>
    <t>9+9+9+9+18</t>
    <phoneticPr fontId="5" type="noConversion"/>
  </si>
  <si>
    <t>9+9+9+9+12</t>
    <phoneticPr fontId="5" type="noConversion"/>
  </si>
  <si>
    <t>9+9+9+9+9</t>
    <phoneticPr fontId="5" type="noConversion"/>
  </si>
  <si>
    <t>12+12+18+18</t>
    <phoneticPr fontId="5" type="noConversion"/>
  </si>
  <si>
    <t>12+12+12+24</t>
    <phoneticPr fontId="5" type="noConversion"/>
  </si>
  <si>
    <t>12+12+12+18</t>
    <phoneticPr fontId="5" type="noConversion"/>
  </si>
  <si>
    <t>12+12+12+12</t>
  </si>
  <si>
    <t>9+18+18+18</t>
    <phoneticPr fontId="5" type="noConversion"/>
  </si>
  <si>
    <t>9+12+18+18</t>
    <phoneticPr fontId="5" type="noConversion"/>
  </si>
  <si>
    <t>9+12+12+24</t>
    <phoneticPr fontId="5" type="noConversion"/>
  </si>
  <si>
    <t>9+12+12+18</t>
  </si>
  <si>
    <t>9+12+12+12</t>
  </si>
  <si>
    <t>9+9+18+24</t>
    <phoneticPr fontId="5" type="noConversion"/>
  </si>
  <si>
    <t>9+9+18+18</t>
    <phoneticPr fontId="5" type="noConversion"/>
  </si>
  <si>
    <t>9+9+12+24</t>
    <phoneticPr fontId="5" type="noConversion"/>
  </si>
  <si>
    <t>9+9+12+18</t>
    <phoneticPr fontId="5" type="noConversion"/>
  </si>
  <si>
    <t>9+9+12+12</t>
  </si>
  <si>
    <t>9+9+9+24</t>
    <phoneticPr fontId="5" type="noConversion"/>
  </si>
  <si>
    <t>9+9+9+18</t>
  </si>
  <si>
    <t>9+9+9+12</t>
  </si>
  <si>
    <t>9+9+9+9</t>
  </si>
  <si>
    <t>18+18+24</t>
    <phoneticPr fontId="5" type="noConversion"/>
  </si>
  <si>
    <t>18+18+18</t>
    <phoneticPr fontId="5" type="noConversion"/>
  </si>
  <si>
    <t>12+24+24</t>
    <phoneticPr fontId="5" type="noConversion"/>
  </si>
  <si>
    <t>12+18+24</t>
    <phoneticPr fontId="5" type="noConversion"/>
  </si>
  <si>
    <t>12+18+18</t>
  </si>
  <si>
    <t>12+12+24</t>
    <phoneticPr fontId="5" type="noConversion"/>
  </si>
  <si>
    <t>12+12+18</t>
  </si>
  <si>
    <t>12+12+12</t>
    <phoneticPr fontId="5" type="noConversion"/>
  </si>
  <si>
    <t>9+24+24</t>
    <phoneticPr fontId="5" type="noConversion"/>
  </si>
  <si>
    <t>9+18+24</t>
    <phoneticPr fontId="5" type="noConversion"/>
  </si>
  <si>
    <t>9+18+18</t>
  </si>
  <si>
    <t>9+12+24</t>
    <phoneticPr fontId="5" type="noConversion"/>
  </si>
  <si>
    <t>9+12+18</t>
  </si>
  <si>
    <t>9+12+12</t>
  </si>
  <si>
    <t>9+9+24</t>
    <phoneticPr fontId="5" type="noConversion"/>
  </si>
  <si>
    <t>9+9+18</t>
  </si>
  <si>
    <t>9+9+12</t>
    <phoneticPr fontId="3" type="noConversion"/>
  </si>
  <si>
    <t>9+9+9</t>
    <phoneticPr fontId="3" type="noConversion"/>
  </si>
  <si>
    <t>24+24</t>
    <phoneticPr fontId="5" type="noConversion"/>
  </si>
  <si>
    <t>18+24</t>
    <phoneticPr fontId="5" type="noConversion"/>
  </si>
  <si>
    <t>18+18</t>
    <phoneticPr fontId="5" type="noConversion"/>
  </si>
  <si>
    <t>12+24</t>
    <phoneticPr fontId="3" type="noConversion"/>
  </si>
  <si>
    <t>12+18</t>
    <phoneticPr fontId="3" type="noConversion"/>
  </si>
  <si>
    <t>12+12</t>
    <phoneticPr fontId="3" type="noConversion"/>
  </si>
  <si>
    <t>9+24</t>
    <phoneticPr fontId="3" type="noConversion"/>
  </si>
  <si>
    <t>9+18</t>
    <phoneticPr fontId="3" type="noConversion"/>
  </si>
  <si>
    <t>y2</t>
  </si>
  <si>
    <t>40MBFQ24---3</t>
  </si>
  <si>
    <t>x2</t>
  </si>
  <si>
    <t>40MBFQ18---3</t>
  </si>
  <si>
    <t>y1</t>
  </si>
  <si>
    <t>40MBFQ12---3</t>
  </si>
  <si>
    <t>x1</t>
  </si>
  <si>
    <t>40MBDQ24---3</t>
  </si>
  <si>
    <t>40MBDQ18---3</t>
  </si>
  <si>
    <t>40MBDQ12---3</t>
  </si>
  <si>
    <t>40MBCQ24---3</t>
  </si>
  <si>
    <t>40MBCQ18---3</t>
  </si>
  <si>
    <t>40MBCQ12---3</t>
  </si>
  <si>
    <t>40MBCQ09---3</t>
  </si>
  <si>
    <t>40MHHQ24---3</t>
  </si>
  <si>
    <t>40MHHQ18---3</t>
  </si>
  <si>
    <t>40MHHQ12---3</t>
  </si>
  <si>
    <t>40MHHQ09---3</t>
  </si>
  <si>
    <t>40MPHAQ12XA3</t>
  </si>
  <si>
    <t>40MPHAQ09XA3</t>
  </si>
  <si>
    <t>40MAQB24B--3</t>
  </si>
  <si>
    <t>40MAQB18B--3</t>
  </si>
  <si>
    <t>40MAQB12B--3</t>
  </si>
  <si>
    <t>Gas Pipe size</t>
  </si>
  <si>
    <t>Liqiuid Pipe size</t>
  </si>
  <si>
    <t>12+12+24</t>
    <phoneticPr fontId="3" type="noConversion"/>
  </si>
  <si>
    <t>Swing Season Heating Load</t>
  </si>
  <si>
    <t>Estimated heating load</t>
  </si>
  <si>
    <t>12+12+12</t>
  </si>
  <si>
    <t>9+9+24</t>
  </si>
  <si>
    <t>9+9+12</t>
  </si>
  <si>
    <t>L</t>
  </si>
  <si>
    <t>Floor Ceiling</t>
  </si>
  <si>
    <t>9+9+9</t>
  </si>
  <si>
    <t>Console</t>
  </si>
  <si>
    <t>12+18</t>
  </si>
  <si>
    <t>D</t>
  </si>
  <si>
    <t>Ducted</t>
  </si>
  <si>
    <t>12+12</t>
  </si>
  <si>
    <t>9+12</t>
    <phoneticPr fontId="3" type="noConversion"/>
  </si>
  <si>
    <t>Cassette 3x3</t>
  </si>
  <si>
    <t>9+9</t>
    <phoneticPr fontId="3" type="noConversion"/>
  </si>
  <si>
    <t>Cassette 2x2</t>
  </si>
  <si>
    <t>48k</t>
  </si>
  <si>
    <t>36k</t>
  </si>
  <si>
    <t>30k</t>
  </si>
  <si>
    <t>24k</t>
  </si>
  <si>
    <t>High Wall Entry</t>
  </si>
  <si>
    <t>18+18</t>
    <phoneticPr fontId="3" type="noConversion"/>
  </si>
  <si>
    <t>High Wall High</t>
  </si>
  <si>
    <t>High Wall Mid</t>
  </si>
  <si>
    <t xml:space="preserve">Type </t>
  </si>
  <si>
    <t>Non duct</t>
  </si>
  <si>
    <t>Defrost Correct</t>
  </si>
  <si>
    <t>Heat Correct</t>
  </si>
  <si>
    <t>Cool Correct</t>
  </si>
  <si>
    <t>9+9</t>
  </si>
  <si>
    <t>Pipe length no additional charge</t>
  </si>
  <si>
    <t>Max Pipe length</t>
  </si>
  <si>
    <t>Max Pipe per IDU</t>
  </si>
  <si>
    <t>Heating Temp</t>
  </si>
  <si>
    <t xml:space="preserve">Nominal </t>
  </si>
  <si>
    <t>Cooling Temp</t>
  </si>
  <si>
    <t>Maximum number of IDUs</t>
  </si>
  <si>
    <t>Cooling Rated Capacity</t>
  </si>
  <si>
    <t>Heating Rated Capacity  (47°F)</t>
  </si>
  <si>
    <t>Cooling rated capacity</t>
  </si>
  <si>
    <t>Heating rated capacity</t>
  </si>
  <si>
    <r>
      <t xml:space="preserve">Defined by size/variable </t>
    </r>
    <r>
      <rPr>
        <sz val="10"/>
        <color rgb="FF2E74B5"/>
        <rFont val="Calibri"/>
        <family val="2"/>
        <scheme val="minor"/>
      </rPr>
      <t>9</t>
    </r>
  </si>
  <si>
    <t>Corrected total heating after derate</t>
  </si>
  <si>
    <t>Corrected total cooling after derate</t>
  </si>
  <si>
    <t>Model Selected</t>
  </si>
  <si>
    <t>Number of indoors selected</t>
  </si>
  <si>
    <t>9+12+24</t>
  </si>
  <si>
    <t>Type</t>
  </si>
  <si>
    <t>Bedroom 3</t>
  </si>
  <si>
    <t>Bedroom 4</t>
  </si>
  <si>
    <t>Bedroom 5</t>
  </si>
  <si>
    <t>Total Piping Length (ft)</t>
  </si>
  <si>
    <t>Pipe length to ODU (ft)</t>
  </si>
  <si>
    <t>Corrected Cooling Capacity</t>
  </si>
  <si>
    <t>Corrected Sensible Capacity</t>
  </si>
  <si>
    <t>Corrected Heating Capacity</t>
  </si>
  <si>
    <t>Cooling Capacity</t>
  </si>
  <si>
    <t>Heating Capacity</t>
  </si>
  <si>
    <t>Sensible Capacity</t>
  </si>
  <si>
    <t>12+12+18+18</t>
  </si>
  <si>
    <t>Indoor Model</t>
  </si>
  <si>
    <t>Indoor Unit 1</t>
  </si>
  <si>
    <t>Indoor Unit 2</t>
  </si>
  <si>
    <t>Indoor Unit 3</t>
  </si>
  <si>
    <t>Indoor Unit 4</t>
  </si>
  <si>
    <t>Indoor Unit 5</t>
  </si>
  <si>
    <t>Mixed Ducted and Non-Ducted Indoor Units</t>
  </si>
  <si>
    <t>Non-Ducted Indoor Units</t>
  </si>
  <si>
    <t>Ducted Indoor Units</t>
  </si>
  <si>
    <t>Min number indoor units</t>
  </si>
  <si>
    <t>Max number indoor units</t>
  </si>
  <si>
    <t>Heating Design Temp (°F)</t>
  </si>
  <si>
    <t xml:space="preserve">Outdoor Unit </t>
  </si>
  <si>
    <t>40MBFQ**---3</t>
  </si>
  <si>
    <t>24-30</t>
  </si>
  <si>
    <t>36K - 48</t>
  </si>
  <si>
    <t>40MBCQ**---3</t>
  </si>
  <si>
    <t>Cassette</t>
  </si>
  <si>
    <t>High Wall</t>
  </si>
  <si>
    <t>40MBDQ**---3</t>
  </si>
  <si>
    <t xml:space="preserve">40MHHQ**---3 </t>
  </si>
  <si>
    <t>Maximum total piping length (ft)</t>
  </si>
  <si>
    <t>Minimum piping length per indoor unit (ft)</t>
  </si>
  <si>
    <t>Maximum piping length per indoor unit (ft)</t>
  </si>
  <si>
    <t>Cooling Design Temp DB (°F)</t>
  </si>
  <si>
    <t>Heating Design Temp DB (°F)</t>
  </si>
  <si>
    <t>Indoor Type</t>
  </si>
  <si>
    <t>Indoor Type List</t>
  </si>
  <si>
    <t>Description</t>
  </si>
  <si>
    <t>Indoor Cooling Design Temp DB (°F)</t>
  </si>
  <si>
    <t>Indoor Heating Design Temp DB (°F)</t>
  </si>
  <si>
    <t>PIPING REQUIREMENTS</t>
  </si>
  <si>
    <t>Perfomances based on the 40MAQ high wall with the 38MA*R at 95F for Cooling and 47F for Heating. The size 9 has been reduced 20% from the size 12 for calculation purposes. Other types of indoor units would have a similar capacity at this temperatures, therefore these caps would apply to all the indoor unit types</t>
  </si>
  <si>
    <t>Maximum piping lift/drop (ft)</t>
  </si>
  <si>
    <t>Maximum vertical piping lift/drop (ft)</t>
  </si>
  <si>
    <t>No.</t>
  </si>
  <si>
    <t>Date</t>
  </si>
  <si>
    <t>Diego Salazar</t>
  </si>
  <si>
    <t>Version</t>
  </si>
  <si>
    <t>User name</t>
  </si>
  <si>
    <t>Type of revision</t>
  </si>
  <si>
    <t>Will each indoor unit in this system be on the same floor/level of the home?</t>
  </si>
  <si>
    <t>Yes</t>
  </si>
  <si>
    <t>Max total piping length no additional ref. charge (ft)</t>
  </si>
  <si>
    <t>Max height difference between indoor units (ft)</t>
  </si>
  <si>
    <t>Liquid Pipe (in)</t>
  </si>
  <si>
    <t>Gas Pipe (in)</t>
  </si>
  <si>
    <t>Indoor Design Conditions (°F)</t>
  </si>
  <si>
    <t>Room size (ft²)*</t>
  </si>
  <si>
    <t>*Room size calculation may not be accurate for your area. Always consider running a full load calculation.</t>
  </si>
  <si>
    <t>Initial release</t>
  </si>
  <si>
    <t>40MPHA/619PHA/DHMPHA</t>
  </si>
  <si>
    <t>40MAQ/619P*B/DHMSHA</t>
  </si>
  <si>
    <t>619PHAQ09XA3</t>
  </si>
  <si>
    <t>619PHAQ12XA3</t>
  </si>
  <si>
    <t>DHMPHAQ09XA3</t>
  </si>
  <si>
    <t>DHMPHAQ12XA3</t>
  </si>
  <si>
    <t>619PEQ009BBMA</t>
  </si>
  <si>
    <t>619PEQ012BBMA</t>
  </si>
  <si>
    <t>619PEQ018BBMA</t>
  </si>
  <si>
    <t>619PEQ024BBMA</t>
  </si>
  <si>
    <t>DHMSHAQ09XA3</t>
  </si>
  <si>
    <t>DHMSHAQ12XA3</t>
  </si>
  <si>
    <t>DHMSHAQ18XA3</t>
  </si>
  <si>
    <t>DHMSHAQ24XA3</t>
  </si>
  <si>
    <t>High Wall Mid Bryant</t>
  </si>
  <si>
    <t>High Wall Mid Carrier</t>
  </si>
  <si>
    <t>High Wall High Carrier</t>
  </si>
  <si>
    <t>High Wall High Bryant</t>
  </si>
  <si>
    <t>For a more accurate selection and calculation, consider using:
VROOM Ductless &amp; VRF Selection Tool</t>
  </si>
  <si>
    <t>38MGRQ**---3</t>
  </si>
  <si>
    <t>9-18</t>
  </si>
  <si>
    <t>Added Rated Capacities based on the Indoor unit type combination</t>
  </si>
  <si>
    <t>2x2</t>
  </si>
  <si>
    <t>3x3</t>
  </si>
  <si>
    <t>Multi-zone design quick select - VERSION 1.2</t>
  </si>
  <si>
    <t>Added Air Handler 40MBAA, Added Multi-zone Combinations tab</t>
  </si>
  <si>
    <t>Heat Pump</t>
  </si>
  <si>
    <t>2-Zone</t>
  </si>
  <si>
    <t>3-Zone</t>
  </si>
  <si>
    <t>4-Zone</t>
  </si>
  <si>
    <t>5-Zone</t>
  </si>
  <si>
    <t>9+12</t>
  </si>
  <si>
    <t>9+18</t>
  </si>
  <si>
    <t>18+18</t>
  </si>
  <si>
    <t>9+24</t>
  </si>
  <si>
    <t>9+9+12+18</t>
    <phoneticPr fontId="11" type="noConversion"/>
  </si>
  <si>
    <t>12+24</t>
  </si>
  <si>
    <t>12+12+24</t>
    <phoneticPr fontId="6" type="noConversion"/>
  </si>
  <si>
    <t>9+18</t>
    <phoneticPr fontId="11" type="noConversion"/>
  </si>
  <si>
    <t>9+9+9</t>
    <phoneticPr fontId="11" type="noConversion"/>
  </si>
  <si>
    <t>9+24</t>
    <phoneticPr fontId="11" type="noConversion"/>
  </si>
  <si>
    <t>9+9+12</t>
    <phoneticPr fontId="11" type="noConversion"/>
  </si>
  <si>
    <t>12+12</t>
    <phoneticPr fontId="11" type="noConversion"/>
  </si>
  <si>
    <t>12+18</t>
    <phoneticPr fontId="11" type="noConversion"/>
  </si>
  <si>
    <t>9+9+24</t>
    <phoneticPr fontId="16" type="noConversion"/>
  </si>
  <si>
    <t>9+9+9+24</t>
    <phoneticPr fontId="16" type="noConversion"/>
  </si>
  <si>
    <t>12+24</t>
    <phoneticPr fontId="11" type="noConversion"/>
  </si>
  <si>
    <t>18+18</t>
    <phoneticPr fontId="16" type="noConversion"/>
  </si>
  <si>
    <t>9+9+12+18</t>
    <phoneticPr fontId="16" type="noConversion"/>
  </si>
  <si>
    <t>18+24</t>
    <phoneticPr fontId="16" type="noConversion"/>
  </si>
  <si>
    <t>9+12+24</t>
    <phoneticPr fontId="16" type="noConversion"/>
  </si>
  <si>
    <t>9+9+12+24</t>
    <phoneticPr fontId="16" type="noConversion"/>
  </si>
  <si>
    <t>24+24</t>
    <phoneticPr fontId="16" type="noConversion"/>
  </si>
  <si>
    <t>9+9+18+18</t>
    <phoneticPr fontId="16" type="noConversion"/>
  </si>
  <si>
    <t>9+18+24</t>
    <phoneticPr fontId="16" type="noConversion"/>
  </si>
  <si>
    <t>9+9+18+24</t>
    <phoneticPr fontId="16" type="noConversion"/>
  </si>
  <si>
    <t>9+24+24</t>
    <phoneticPr fontId="16" type="noConversion"/>
  </si>
  <si>
    <t>12+12+12</t>
    <phoneticPr fontId="16" type="noConversion"/>
  </si>
  <si>
    <t>9+12+12+24</t>
    <phoneticPr fontId="16" type="noConversion"/>
  </si>
  <si>
    <t>12+12+24</t>
    <phoneticPr fontId="16" type="noConversion"/>
  </si>
  <si>
    <t>9+12+18+18</t>
    <phoneticPr fontId="16" type="noConversion"/>
  </si>
  <si>
    <t>9+18+18+18</t>
    <phoneticPr fontId="16" type="noConversion"/>
  </si>
  <si>
    <t>12+18+24</t>
    <phoneticPr fontId="16" type="noConversion"/>
  </si>
  <si>
    <t>12+24+24</t>
    <phoneticPr fontId="16" type="noConversion"/>
  </si>
  <si>
    <t>12+12+12+18</t>
    <phoneticPr fontId="16" type="noConversion"/>
  </si>
  <si>
    <t>18+18+18</t>
    <phoneticPr fontId="16" type="noConversion"/>
  </si>
  <si>
    <t>12+12+12+24</t>
    <phoneticPr fontId="16" type="noConversion"/>
  </si>
  <si>
    <t>18+18+24</t>
    <phoneticPr fontId="16" type="noConversion"/>
  </si>
  <si>
    <t>12+12+18+18</t>
    <phoneticPr fontId="16" type="noConversion"/>
  </si>
  <si>
    <t>9+9+9+9+9</t>
    <phoneticPr fontId="16" type="noConversion"/>
  </si>
  <si>
    <t>9+9+9+9+12</t>
    <phoneticPr fontId="16" type="noConversion"/>
  </si>
  <si>
    <t>9+9+9+9+18</t>
    <phoneticPr fontId="16" type="noConversion"/>
  </si>
  <si>
    <t>9+9+9+9+24</t>
    <phoneticPr fontId="16" type="noConversion"/>
  </si>
  <si>
    <t>9+9+9+12+12</t>
    <phoneticPr fontId="16" type="noConversion"/>
  </si>
  <si>
    <t>9+9+9+12+18</t>
    <phoneticPr fontId="16" type="noConversion"/>
  </si>
  <si>
    <t>9+9+9+18+18</t>
    <phoneticPr fontId="16" type="noConversion"/>
  </si>
  <si>
    <t>9+9+12+12+12</t>
    <phoneticPr fontId="16" type="noConversion"/>
  </si>
  <si>
    <t>9+9+12+12+18</t>
    <phoneticPr fontId="16" type="noConversion"/>
  </si>
  <si>
    <t>9+12+12+12+12</t>
    <phoneticPr fontId="16" type="noConversion"/>
  </si>
  <si>
    <t>9+12+12+12+18</t>
    <phoneticPr fontId="16" type="noConversion"/>
  </si>
  <si>
    <t>12+12+12+12+12</t>
    <phoneticPr fontId="16" type="noConversion"/>
  </si>
  <si>
    <t>Multi-zone Combinations</t>
  </si>
  <si>
    <t>Air Handler</t>
  </si>
  <si>
    <t>40MBAAQ24XA3</t>
  </si>
  <si>
    <t>Air handler</t>
  </si>
  <si>
    <r>
      <rPr>
        <b/>
        <sz val="10"/>
        <color theme="1"/>
        <rFont val="Calibri"/>
        <family val="2"/>
        <scheme val="minor"/>
      </rPr>
      <t>Instructions:</t>
    </r>
    <r>
      <rPr>
        <sz val="10"/>
        <color theme="1"/>
        <rFont val="Calibri"/>
        <family val="2"/>
        <scheme val="minor"/>
      </rPr>
      <t xml:space="preserve"> Enter all fields highlighted in green.  Entering room names and sizes is optional.  If no errors or warnings appear the selection is valid. Piping lengths should be entered as the one way length to each indoor unit.  All Indoor units are connected in a home run style with the outdoor unit. Consult the Multi-zone Combinations tab for approved combinations. Previously added Indoor Type, Model Number and Pipe length can be deleted manually using the keyboard.</t>
    </r>
  </si>
  <si>
    <t>Outdoor Temperature</t>
  </si>
  <si>
    <t>Floor-Ceiling 18-24</t>
  </si>
  <si>
    <t>Floor 12</t>
  </si>
  <si>
    <t>40MBAA</t>
  </si>
  <si>
    <r>
      <rPr>
        <b/>
        <sz val="8"/>
        <color indexed="8"/>
        <rFont val="Calibri"/>
        <family val="2"/>
      </rPr>
      <t xml:space="preserve">DISCLAIMERS AND PROHIBITION ON COPYING
</t>
    </r>
    <r>
      <rPr>
        <sz val="8"/>
        <color indexed="8"/>
        <rFont val="Calibri"/>
        <family val="2"/>
      </rPr>
      <t xml:space="preserve">
This </t>
    </r>
    <r>
      <rPr>
        <u/>
        <sz val="8"/>
        <color rgb="FF000000"/>
        <rFont val="Calibri"/>
        <family val="2"/>
      </rPr>
      <t>Multi-zone design q</t>
    </r>
    <r>
      <rPr>
        <u/>
        <sz val="8"/>
        <color indexed="8"/>
        <rFont val="Calibri"/>
        <family val="2"/>
      </rPr>
      <t xml:space="preserve">uick select tool </t>
    </r>
    <r>
      <rPr>
        <sz val="8"/>
        <color indexed="8"/>
        <rFont val="Calibri"/>
        <family val="2"/>
      </rPr>
      <t xml:space="preserve"> is intended for use only by Carrier Corporation </t>
    </r>
    <r>
      <rPr>
        <u/>
        <sz val="8"/>
        <color indexed="8"/>
        <rFont val="Calibri"/>
        <family val="2"/>
      </rPr>
      <t>employees and distributors of Carrier® ductless</t>
    </r>
    <r>
      <rPr>
        <sz val="8"/>
        <color indexed="8"/>
        <rFont val="Calibri"/>
        <family val="2"/>
      </rPr>
      <t xml:space="preserve"> products.
</t>
    </r>
    <r>
      <rPr>
        <b/>
        <sz val="8"/>
        <color rgb="FF000000"/>
        <rFont val="Calibri"/>
        <family val="2"/>
      </rPr>
      <t xml:space="preserve">*Room size calculation may not be accurate for your area. Always consider running a full load calculation. 
Performance and specifications are subject to change without notice.
</t>
    </r>
    <r>
      <rPr>
        <sz val="8"/>
        <color indexed="8"/>
        <rFont val="Calibri"/>
        <family val="2"/>
      </rPr>
      <t xml:space="preserve">
</t>
    </r>
    <r>
      <rPr>
        <u/>
        <sz val="8"/>
        <color indexed="8"/>
        <rFont val="Calibri"/>
        <family val="2"/>
      </rPr>
      <t xml:space="preserve">It is intended only for general reference to assist with selecting Carrier® ductless products and may not be current or up to date. Data is provided “as is” and Carrier Corporation disclaims all warranties, whether express, implied, statutory or otherwise. 
Carrier Corporation is not liable for any direct or indirect damages or any other liability in connection with use of this tool.  </t>
    </r>
    <r>
      <rPr>
        <sz val="8"/>
        <color indexed="8"/>
        <rFont val="Calibri"/>
        <family val="2"/>
      </rPr>
      <t xml:space="preserve">
This tool may not be reproduced, disclosed, or distributed to any person without </t>
    </r>
    <r>
      <rPr>
        <u/>
        <sz val="8"/>
        <color indexed="8"/>
        <rFont val="Calibri"/>
        <family val="2"/>
      </rPr>
      <t>prior</t>
    </r>
    <r>
      <rPr>
        <sz val="8"/>
        <color indexed="8"/>
        <rFont val="Calibri"/>
        <family val="2"/>
      </rPr>
      <t xml:space="preserve"> written authorization from an officer of Carrier Corporation. Any unauthorized reproduction, disclosure, or distribution of copies by any person of any portion of this work may be a violation of Copyright Law of the United States of America and other countries, could result in the awarding of Statutory Damages of up to $250,000 (17 USC 504) for infringement, and may result in further civil and criminal penalties.
</t>
    </r>
    <r>
      <rPr>
        <u/>
        <sz val="8"/>
        <color indexed="8"/>
        <rFont val="Calibri"/>
        <family val="2"/>
      </rPr>
      <t>Confidential and Proprietary – Not for Further Distribution.</t>
    </r>
    <r>
      <rPr>
        <sz val="8"/>
        <color indexed="8"/>
        <rFont val="Calibri"/>
        <family val="2"/>
      </rPr>
      <t xml:space="preserve"> Copyright © 2020 Carrier Corporation. All rights reserved. </t>
    </r>
  </si>
  <si>
    <t>9-24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</si>
</sst>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0.000"/>
    <numFmt numFmtId="165" formatCode="#,##0.0"/>
    <numFmt numFmtId="166" formatCode="_ * #,##0.00_ ;_ * \-#,##0.00_ ;_ * &quot;-&quot;??_ ;_ @_ "/>
    <numFmt numFmtId="167" formatCode="0.0"/>
    <numFmt numFmtId="168" formatCode="_ * #,##0.000_ ;_ * \-#,##0.000_ ;_ * &quot;-&quot;??_ ;_ @_ "/>
    <numFmt numFmtId="169" formatCode="0.00_);[Red]\(0.00\)"/>
    <numFmt numFmtId="170" formatCode="#,##0.000"/>
    <numFmt numFmtId="171" formatCode="_ * #,##0_ ;_ * \-#,##0_ ;_ * &quot;-&quot;??_ ;_ @_ "/>
  </numFmts>
  <fonts count="57">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0"/>
      <name val="Arial"/>
      <family val="2"/>
    </font>
    <font>
      <sz val="10"/>
      <name val="Arial"/>
      <family val="2"/>
    </font>
    <font>
      <sz val="10"/>
      <color theme="1"/>
      <name val="Arial"/>
      <family val="2"/>
    </font>
    <font>
      <sz val="10"/>
      <color rgb="FF000000"/>
      <name val="Arial"/>
      <family val="2"/>
    </font>
    <font>
      <sz val="11"/>
      <color theme="1"/>
      <name val="Calibri"/>
      <family val="2"/>
      <charset val="134"/>
      <scheme val="minor"/>
    </font>
    <font>
      <sz val="12"/>
      <name val="宋体"/>
      <charset val="134"/>
    </font>
    <font>
      <b/>
      <sz val="9"/>
      <color indexed="81"/>
      <name val="Tahoma"/>
      <family val="2"/>
    </font>
    <font>
      <sz val="9"/>
      <color indexed="81"/>
      <name val="Tahoma"/>
      <family val="2"/>
    </font>
    <font>
      <sz val="12"/>
      <name val="宋体"/>
      <family val="3"/>
      <charset val="134"/>
    </font>
    <font>
      <sz val="10"/>
      <name val="Calibri"/>
      <family val="2"/>
      <scheme val="minor"/>
    </font>
    <font>
      <u/>
      <sz val="11"/>
      <color theme="10"/>
      <name val="Calibri"/>
      <family val="2"/>
      <scheme val="minor"/>
    </font>
    <font>
      <sz val="11"/>
      <color rgb="FF000000"/>
      <name val="Calibri"/>
      <family val="2"/>
      <scheme val="minor"/>
    </font>
    <font>
      <b/>
      <sz val="11"/>
      <color rgb="FFFFFFFF"/>
      <name val="Calibri"/>
      <family val="2"/>
      <scheme val="minor"/>
    </font>
    <font>
      <b/>
      <sz val="11"/>
      <color rgb="FF000000"/>
      <name val="Calibri"/>
      <family val="2"/>
      <scheme val="minor"/>
    </font>
    <font>
      <b/>
      <sz val="16"/>
      <color theme="1"/>
      <name val="Calibri"/>
      <family val="2"/>
      <scheme val="minor"/>
    </font>
    <font>
      <b/>
      <sz val="10"/>
      <color rgb="FFFF0000"/>
      <name val="Calibri"/>
      <family val="2"/>
    </font>
    <font>
      <sz val="10"/>
      <color theme="1"/>
      <name val="Calibri"/>
      <family val="2"/>
    </font>
    <font>
      <b/>
      <sz val="10"/>
      <color rgb="FF00B0F0"/>
      <name val="Calibri"/>
      <family val="2"/>
    </font>
    <font>
      <sz val="10"/>
      <name val="Calibri"/>
      <family val="2"/>
    </font>
    <font>
      <b/>
      <sz val="10"/>
      <color theme="1"/>
      <name val="Calibri"/>
      <family val="2"/>
    </font>
    <font>
      <b/>
      <sz val="10"/>
      <name val="Calibri"/>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2E74B5"/>
      <name val="Calibri"/>
      <family val="2"/>
      <scheme val="minor"/>
    </font>
    <font>
      <b/>
      <sz val="10"/>
      <name val="Calibri"/>
      <family val="2"/>
      <scheme val="minor"/>
    </font>
    <font>
      <b/>
      <strike/>
      <sz val="10"/>
      <name val="Calibri"/>
      <family val="2"/>
      <scheme val="minor"/>
    </font>
    <font>
      <b/>
      <i/>
      <sz val="10"/>
      <name val="Calibri"/>
      <family val="2"/>
      <scheme val="minor"/>
    </font>
    <font>
      <strike/>
      <sz val="10"/>
      <name val="Calibri"/>
      <family val="2"/>
      <scheme val="minor"/>
    </font>
    <font>
      <b/>
      <i/>
      <strike/>
      <sz val="10"/>
      <name val="Calibri"/>
      <family val="2"/>
      <scheme val="minor"/>
    </font>
    <font>
      <sz val="10"/>
      <color rgb="FF000000"/>
      <name val="Calibri"/>
      <family val="2"/>
      <scheme val="minor"/>
    </font>
    <font>
      <sz val="8"/>
      <name val="Calibri"/>
      <family val="2"/>
      <scheme val="minor"/>
    </font>
    <font>
      <b/>
      <sz val="12"/>
      <color theme="1"/>
      <name val="Calibri"/>
      <family val="2"/>
      <scheme val="minor"/>
    </font>
    <font>
      <b/>
      <sz val="16"/>
      <color rgb="FFC00000"/>
      <name val="Calibri"/>
      <family val="2"/>
      <scheme val="minor"/>
    </font>
    <font>
      <sz val="8"/>
      <color indexed="8"/>
      <name val="Calibri"/>
      <family val="2"/>
    </font>
    <font>
      <b/>
      <sz val="8"/>
      <color indexed="8"/>
      <name val="Calibri"/>
      <family val="2"/>
    </font>
    <font>
      <u/>
      <sz val="8"/>
      <color indexed="8"/>
      <name val="Calibri"/>
      <family val="2"/>
    </font>
    <font>
      <u/>
      <sz val="8"/>
      <color rgb="FF000000"/>
      <name val="Calibri"/>
      <family val="2"/>
    </font>
    <font>
      <b/>
      <sz val="16"/>
      <color theme="0"/>
      <name val="Calibri"/>
      <family val="2"/>
      <scheme val="minor"/>
    </font>
    <font>
      <sz val="10"/>
      <color theme="0"/>
      <name val="Calibri"/>
      <family val="2"/>
      <scheme val="minor"/>
    </font>
    <font>
      <b/>
      <sz val="10"/>
      <color theme="0"/>
      <name val="Calibri"/>
      <family val="2"/>
      <scheme val="minor"/>
    </font>
    <font>
      <b/>
      <sz val="20"/>
      <color theme="0"/>
      <name val="Calibri"/>
      <family val="2"/>
      <scheme val="minor"/>
    </font>
    <font>
      <sz val="8"/>
      <color indexed="8"/>
      <name val="Arial"/>
      <family val="2"/>
    </font>
    <font>
      <b/>
      <sz val="8"/>
      <color indexed="8"/>
      <name val="Arial"/>
      <family val="2"/>
    </font>
    <font>
      <b/>
      <sz val="8"/>
      <color rgb="FF000000"/>
      <name val="Calibri"/>
      <family val="2"/>
    </font>
    <font>
      <b/>
      <sz val="14"/>
      <color rgb="FF152C72"/>
      <name val="Calibri"/>
      <family val="2"/>
      <scheme val="minor"/>
    </font>
    <font>
      <b/>
      <sz val="16"/>
      <color rgb="FF152C72"/>
      <name val="Calibri"/>
      <family val="2"/>
      <scheme val="minor"/>
    </font>
    <font>
      <b/>
      <sz val="11"/>
      <color rgb="FF152C72"/>
      <name val="Calibri"/>
      <family val="2"/>
      <scheme val="minor"/>
    </font>
    <font>
      <b/>
      <sz val="11"/>
      <color theme="0"/>
      <name val="Arial"/>
      <family val="2"/>
    </font>
    <font>
      <b/>
      <sz val="9"/>
      <color indexed="9"/>
      <name val="Arial"/>
      <family val="2"/>
    </font>
    <font>
      <b/>
      <sz val="9"/>
      <name val="Arial"/>
      <family val="2"/>
    </font>
    <font>
      <sz val="9"/>
      <name val="Arial"/>
      <family val="2"/>
    </font>
    <font>
      <b/>
      <sz val="12"/>
      <color rgb="FF152C72"/>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0"/>
        <bgColor indexed="64"/>
      </patternFill>
    </fill>
    <fill>
      <patternFill patternType="solid">
        <fgColor rgb="FF0070C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5B9BD5"/>
        <bgColor indexed="64"/>
      </patternFill>
    </fill>
    <fill>
      <patternFill patternType="solid">
        <fgColor rgb="FFDDEBF7"/>
        <bgColor indexed="64"/>
      </patternFill>
    </fill>
    <fill>
      <patternFill patternType="solid">
        <fgColor theme="8" tint="0.79998168889431442"/>
        <bgColor indexed="64"/>
      </patternFill>
    </fill>
    <fill>
      <patternFill patternType="solid">
        <fgColor rgb="FF152C72"/>
        <bgColor indexed="64"/>
      </patternFill>
    </fill>
    <fill>
      <patternFill patternType="solid">
        <fgColor theme="9" tint="0.39997558519241921"/>
        <bgColor indexed="64"/>
      </patternFill>
    </fill>
    <fill>
      <patternFill patternType="solid">
        <fgColor theme="3"/>
        <bgColor indexed="64"/>
      </patternFill>
    </fill>
    <fill>
      <patternFill patternType="solid">
        <fgColor indexed="1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auto="1"/>
      </left>
      <right style="thin">
        <color auto="1"/>
      </right>
      <top style="thin">
        <color indexed="64"/>
      </top>
      <bottom style="hair">
        <color auto="1"/>
      </bottom>
      <diagonal/>
    </border>
    <border>
      <left style="thin">
        <color auto="1"/>
      </left>
      <right style="thin">
        <color auto="1"/>
      </right>
      <top style="thin">
        <color indexed="64"/>
      </top>
      <bottom style="hair">
        <color auto="1"/>
      </bottom>
      <diagonal/>
    </border>
    <border>
      <left style="thin">
        <color auto="1"/>
      </left>
      <right style="medium">
        <color auto="1"/>
      </right>
      <top style="thin">
        <color indexed="64"/>
      </top>
      <bottom style="hair">
        <color auto="1"/>
      </bottom>
      <diagonal/>
    </border>
    <border>
      <left style="medium">
        <color auto="1"/>
      </left>
      <right style="thin">
        <color auto="1"/>
      </right>
      <top style="hair">
        <color auto="1"/>
      </top>
      <bottom style="hair">
        <color auto="1"/>
      </bottom>
      <diagonal/>
    </border>
    <border>
      <left style="thin">
        <color indexed="64"/>
      </left>
      <right style="thin">
        <color indexed="64"/>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top style="thin">
        <color auto="1"/>
      </top>
      <bottom style="hair">
        <color auto="1"/>
      </bottom>
      <diagonal/>
    </border>
    <border>
      <left/>
      <right style="thin">
        <color indexed="64"/>
      </right>
      <top style="thin">
        <color auto="1"/>
      </top>
      <bottom style="hair">
        <color auto="1"/>
      </bottom>
      <diagonal/>
    </border>
    <border>
      <left style="medium">
        <color auto="1"/>
      </left>
      <right/>
      <top style="hair">
        <color auto="1"/>
      </top>
      <bottom style="medium">
        <color auto="1"/>
      </bottom>
      <diagonal/>
    </border>
    <border>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rgb="FF9BC2E6"/>
      </left>
      <right/>
      <top style="medium">
        <color rgb="FF9BC2E6"/>
      </top>
      <bottom style="medium">
        <color rgb="FF9BC2E6"/>
      </bottom>
      <diagonal/>
    </border>
    <border>
      <left/>
      <right/>
      <top style="medium">
        <color rgb="FF9BC2E6"/>
      </top>
      <bottom style="medium">
        <color rgb="FF9BC2E6"/>
      </bottom>
      <diagonal/>
    </border>
    <border>
      <left/>
      <right style="medium">
        <color rgb="FF9BC2E6"/>
      </right>
      <top style="medium">
        <color rgb="FF9BC2E6"/>
      </top>
      <bottom style="medium">
        <color rgb="FF9BC2E6"/>
      </bottom>
      <diagonal/>
    </border>
    <border>
      <left style="medium">
        <color rgb="FF9BC2E6"/>
      </left>
      <right/>
      <top/>
      <bottom style="medium">
        <color rgb="FF9BC2E6"/>
      </bottom>
      <diagonal/>
    </border>
    <border>
      <left/>
      <right/>
      <top/>
      <bottom style="medium">
        <color rgb="FF9BC2E6"/>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style="medium">
        <color auto="1"/>
      </left>
      <right style="medium">
        <color auto="1"/>
      </right>
      <top/>
      <bottom style="hair">
        <color auto="1"/>
      </bottom>
      <diagonal/>
    </border>
    <border>
      <left/>
      <right/>
      <top/>
      <bottom style="thin">
        <color indexed="64"/>
      </bottom>
      <diagonal/>
    </border>
    <border>
      <left/>
      <right/>
      <top style="thin">
        <color indexed="64"/>
      </top>
      <bottom/>
      <diagonal/>
    </border>
    <border>
      <left/>
      <right style="medium">
        <color indexed="64"/>
      </right>
      <top style="medium">
        <color indexed="64"/>
      </top>
      <bottom style="thin">
        <color indexed="64"/>
      </bottom>
      <diagonal/>
    </border>
  </borders>
  <cellStyleXfs count="15">
    <xf numFmtId="0" fontId="0" fillId="0" borderId="0"/>
    <xf numFmtId="0" fontId="3" fillId="0" borderId="0"/>
    <xf numFmtId="0" fontId="3" fillId="0" borderId="0"/>
    <xf numFmtId="0" fontId="1" fillId="0" borderId="0"/>
    <xf numFmtId="9" fontId="3" fillId="0" borderId="0" applyFont="0" applyFill="0" applyBorder="0" applyAlignment="0" applyProtection="0"/>
    <xf numFmtId="43" fontId="3" fillId="0" borderId="0" applyFont="0" applyFill="0" applyBorder="0" applyAlignment="0" applyProtection="0"/>
    <xf numFmtId="0" fontId="8" fillId="0" borderId="0">
      <alignment vertical="center"/>
    </xf>
    <xf numFmtId="0" fontId="9" fillId="0" borderId="0">
      <alignment vertical="center"/>
    </xf>
    <xf numFmtId="166" fontId="8" fillId="0" borderId="0" applyFont="0" applyFill="0" applyBorder="0" applyAlignment="0" applyProtection="0">
      <alignment vertical="center"/>
    </xf>
    <xf numFmtId="0" fontId="5" fillId="0" borderId="0"/>
    <xf numFmtId="0" fontId="5" fillId="0" borderId="0"/>
    <xf numFmtId="0" fontId="12" fillId="0" borderId="0"/>
    <xf numFmtId="0" fontId="14" fillId="0" borderId="0" applyNumberFormat="0" applyFill="0" applyBorder="0" applyAlignment="0" applyProtection="0"/>
    <xf numFmtId="9" fontId="1" fillId="0" borderId="0" applyFont="0" applyFill="0" applyBorder="0" applyAlignment="0" applyProtection="0"/>
    <xf numFmtId="0" fontId="1" fillId="0" borderId="0"/>
  </cellStyleXfs>
  <cellXfs count="543">
    <xf numFmtId="0" fontId="0" fillId="0" borderId="0" xfId="0"/>
    <xf numFmtId="0" fontId="2" fillId="0" borderId="0" xfId="0" applyFont="1"/>
    <xf numFmtId="4" fontId="5" fillId="0" borderId="1" xfId="3" applyNumberFormat="1" applyFont="1" applyFill="1" applyBorder="1" applyAlignment="1">
      <alignment horizontal="center" vertical="center"/>
    </xf>
    <xf numFmtId="2" fontId="5" fillId="0" borderId="0" xfId="3" applyNumberFormat="1" applyFont="1" applyFill="1" applyBorder="1" applyAlignment="1">
      <alignment horizontal="center" vertical="center"/>
    </xf>
    <xf numFmtId="0" fontId="4" fillId="0" borderId="0" xfId="2" applyFont="1" applyFill="1"/>
    <xf numFmtId="0" fontId="5" fillId="0" borderId="0" xfId="2" applyFont="1" applyFill="1"/>
    <xf numFmtId="4" fontId="5" fillId="0" borderId="0" xfId="2" applyNumberFormat="1" applyFont="1" applyFill="1"/>
    <xf numFmtId="0" fontId="4" fillId="0" borderId="0" xfId="2" applyFont="1" applyFill="1" applyAlignment="1">
      <alignment horizontal="left" vertical="center"/>
    </xf>
    <xf numFmtId="0" fontId="5" fillId="0" borderId="1" xfId="2" applyFont="1" applyFill="1" applyBorder="1" applyAlignment="1">
      <alignment horizontal="center" vertical="center"/>
    </xf>
    <xf numFmtId="4" fontId="5" fillId="0" borderId="1" xfId="2" applyNumberFormat="1" applyFont="1" applyFill="1" applyBorder="1" applyAlignment="1">
      <alignment horizontal="center" vertical="center"/>
    </xf>
    <xf numFmtId="0" fontId="5" fillId="0" borderId="0" xfId="2" applyFont="1" applyFill="1" applyAlignment="1">
      <alignment horizontal="left" vertical="center"/>
    </xf>
    <xf numFmtId="4" fontId="4" fillId="0" borderId="4" xfId="2" applyNumberFormat="1" applyFont="1" applyFill="1" applyBorder="1" applyAlignment="1">
      <alignment horizontal="center"/>
    </xf>
    <xf numFmtId="0" fontId="4" fillId="0" borderId="0" xfId="2" applyFont="1" applyFill="1" applyBorder="1" applyAlignment="1">
      <alignment horizontal="center" vertical="center"/>
    </xf>
    <xf numFmtId="0" fontId="4" fillId="0" borderId="0" xfId="2" quotePrefix="1" applyFont="1" applyFill="1" applyBorder="1" applyAlignment="1">
      <alignment horizontal="center" vertical="center" wrapText="1"/>
    </xf>
    <xf numFmtId="4" fontId="5" fillId="0" borderId="1" xfId="2" applyNumberFormat="1" applyFont="1" applyFill="1" applyBorder="1" applyAlignment="1">
      <alignment horizontal="center"/>
    </xf>
    <xf numFmtId="2" fontId="5" fillId="0" borderId="0" xfId="2" applyNumberFormat="1" applyFont="1" applyFill="1" applyBorder="1" applyAlignment="1">
      <alignment horizontal="center"/>
    </xf>
    <xf numFmtId="4" fontId="6" fillId="0" borderId="1" xfId="2" applyNumberFormat="1" applyFont="1" applyFill="1" applyBorder="1" applyAlignment="1">
      <alignment horizontal="center"/>
    </xf>
    <xf numFmtId="0" fontId="5" fillId="0" borderId="0" xfId="2" applyFont="1" applyFill="1" applyAlignment="1"/>
    <xf numFmtId="4" fontId="5" fillId="0" borderId="0" xfId="2" applyNumberFormat="1" applyFont="1" applyFill="1" applyAlignment="1"/>
    <xf numFmtId="4" fontId="7" fillId="0" borderId="1" xfId="2" applyNumberFormat="1" applyFont="1" applyFill="1" applyBorder="1" applyAlignment="1">
      <alignment horizontal="center" vertical="center"/>
    </xf>
    <xf numFmtId="2" fontId="0" fillId="6" borderId="0" xfId="0" applyNumberFormat="1" applyFill="1"/>
    <xf numFmtId="0" fontId="0" fillId="0" borderId="1" xfId="0" applyBorder="1"/>
    <xf numFmtId="0" fontId="2" fillId="0" borderId="16" xfId="0" applyFont="1" applyBorder="1" applyAlignment="1">
      <alignment horizontal="center" vertical="center"/>
    </xf>
    <xf numFmtId="0" fontId="2" fillId="0" borderId="22" xfId="0" applyFont="1" applyBorder="1" applyAlignment="1">
      <alignment horizontal="center" vertical="center"/>
    </xf>
    <xf numFmtId="0" fontId="0" fillId="0" borderId="0" xfId="0" applyFont="1"/>
    <xf numFmtId="0" fontId="14" fillId="0" borderId="0" xfId="12" applyFont="1"/>
    <xf numFmtId="3" fontId="0" fillId="0" borderId="16" xfId="0" applyNumberFormat="1" applyFont="1" applyBorder="1" applyAlignment="1">
      <alignment horizontal="center" vertical="center"/>
    </xf>
    <xf numFmtId="3" fontId="0" fillId="0" borderId="22" xfId="0" applyNumberFormat="1" applyFont="1" applyBorder="1" applyAlignment="1">
      <alignment horizontal="center" vertical="center"/>
    </xf>
    <xf numFmtId="2" fontId="0" fillId="0" borderId="16" xfId="0" applyNumberFormat="1" applyFont="1" applyBorder="1" applyAlignment="1">
      <alignment horizontal="center" vertical="center"/>
    </xf>
    <xf numFmtId="2" fontId="0" fillId="0" borderId="22" xfId="0" applyNumberFormat="1" applyFont="1" applyBorder="1" applyAlignment="1">
      <alignment horizontal="center" vertical="center"/>
    </xf>
    <xf numFmtId="3" fontId="0" fillId="0" borderId="17" xfId="0" applyNumberFormat="1" applyFont="1" applyBorder="1" applyAlignment="1">
      <alignment horizontal="center" vertical="center"/>
    </xf>
    <xf numFmtId="3" fontId="0" fillId="0" borderId="21" xfId="0" applyNumberFormat="1" applyFont="1" applyBorder="1" applyAlignment="1">
      <alignment horizontal="center" vertical="center"/>
    </xf>
    <xf numFmtId="2" fontId="0" fillId="0" borderId="17" xfId="0" applyNumberFormat="1" applyFont="1" applyBorder="1" applyAlignment="1">
      <alignment horizontal="center" vertical="center"/>
    </xf>
    <xf numFmtId="2" fontId="0" fillId="0" borderId="21" xfId="0" applyNumberFormat="1" applyFont="1" applyBorder="1" applyAlignment="1">
      <alignment horizontal="center" vertical="center"/>
    </xf>
    <xf numFmtId="0" fontId="15" fillId="0" borderId="0" xfId="0" applyFont="1" applyAlignment="1">
      <alignment horizontal="left" vertical="center" readingOrder="1"/>
    </xf>
    <xf numFmtId="0" fontId="4" fillId="0" borderId="1" xfId="0" applyFont="1" applyFill="1" applyBorder="1" applyAlignment="1">
      <alignment vertical="center" wrapText="1"/>
    </xf>
    <xf numFmtId="0" fontId="5" fillId="0" borderId="1" xfId="0" applyFont="1" applyFill="1" applyBorder="1" applyAlignment="1">
      <alignment horizontal="center" vertical="center"/>
    </xf>
    <xf numFmtId="169" fontId="5" fillId="0" borderId="1" xfId="3" applyNumberFormat="1" applyFont="1" applyFill="1" applyBorder="1" applyAlignment="1">
      <alignment horizontal="center" vertical="center"/>
    </xf>
    <xf numFmtId="0" fontId="4" fillId="0" borderId="2" xfId="0" applyFont="1" applyFill="1" applyBorder="1" applyAlignment="1">
      <alignment vertical="center"/>
    </xf>
    <xf numFmtId="0" fontId="4" fillId="0" borderId="1" xfId="0" applyFont="1" applyFill="1" applyBorder="1" applyAlignment="1">
      <alignment horizontal="center" vertical="center" wrapText="1"/>
    </xf>
    <xf numFmtId="0" fontId="2" fillId="0" borderId="1" xfId="0" applyFont="1" applyBorder="1"/>
    <xf numFmtId="0" fontId="16" fillId="12" borderId="64" xfId="0" applyFont="1" applyFill="1" applyBorder="1" applyAlignment="1">
      <alignment vertical="center"/>
    </xf>
    <xf numFmtId="0" fontId="16" fillId="12" borderId="65" xfId="0" applyFont="1" applyFill="1" applyBorder="1" applyAlignment="1">
      <alignment vertical="center"/>
    </xf>
    <xf numFmtId="0" fontId="16" fillId="12" borderId="66" xfId="0" applyFont="1" applyFill="1" applyBorder="1" applyAlignment="1">
      <alignment vertical="center"/>
    </xf>
    <xf numFmtId="0" fontId="17" fillId="13" borderId="67" xfId="0" applyFont="1" applyFill="1" applyBorder="1" applyAlignment="1">
      <alignment horizontal="right" vertical="center"/>
    </xf>
    <xf numFmtId="0" fontId="18" fillId="0" borderId="0" xfId="0" applyFont="1" applyAlignment="1">
      <alignment vertical="center"/>
    </xf>
    <xf numFmtId="3" fontId="17" fillId="0" borderId="67" xfId="0" applyNumberFormat="1" applyFont="1" applyBorder="1" applyAlignment="1">
      <alignment horizontal="right" vertical="center"/>
    </xf>
    <xf numFmtId="3" fontId="17" fillId="13" borderId="67" xfId="0" applyNumberFormat="1" applyFont="1" applyFill="1" applyBorder="1" applyAlignment="1">
      <alignment horizontal="right" vertical="center"/>
    </xf>
    <xf numFmtId="2" fontId="15" fillId="0" borderId="68" xfId="0" applyNumberFormat="1" applyFont="1" applyBorder="1" applyAlignment="1">
      <alignment horizontal="right" vertical="center"/>
    </xf>
    <xf numFmtId="2" fontId="15" fillId="13" borderId="68" xfId="0" applyNumberFormat="1" applyFont="1" applyFill="1" applyBorder="1" applyAlignment="1">
      <alignment horizontal="right" vertical="center"/>
    </xf>
    <xf numFmtId="0" fontId="19" fillId="2" borderId="0" xfId="6" applyFont="1" applyFill="1">
      <alignment vertical="center"/>
    </xf>
    <xf numFmtId="0" fontId="20" fillId="8" borderId="0" xfId="6" applyFont="1" applyFill="1">
      <alignment vertical="center"/>
    </xf>
    <xf numFmtId="0" fontId="20" fillId="8" borderId="0" xfId="6" applyFont="1" applyFill="1" applyBorder="1">
      <alignment vertical="center"/>
    </xf>
    <xf numFmtId="0" fontId="21" fillId="8" borderId="0" xfId="7" applyFont="1" applyFill="1">
      <alignment vertical="center"/>
    </xf>
    <xf numFmtId="0" fontId="22" fillId="0" borderId="0" xfId="7" applyFont="1">
      <alignment vertical="center"/>
    </xf>
    <xf numFmtId="166" fontId="20" fillId="8" borderId="0" xfId="8" applyFont="1" applyFill="1">
      <alignment vertical="center"/>
    </xf>
    <xf numFmtId="166" fontId="20" fillId="8" borderId="0" xfId="8" applyFont="1" applyFill="1" applyBorder="1">
      <alignment vertical="center"/>
    </xf>
    <xf numFmtId="0" fontId="23" fillId="8" borderId="15" xfId="7" applyFont="1" applyFill="1" applyBorder="1" applyAlignment="1">
      <alignment horizontal="center" vertical="center"/>
    </xf>
    <xf numFmtId="0" fontId="23" fillId="8" borderId="23" xfId="7" applyFont="1" applyFill="1" applyBorder="1" applyAlignment="1">
      <alignment horizontal="center" vertical="center"/>
    </xf>
    <xf numFmtId="166" fontId="23" fillId="8" borderId="0" xfId="8" applyFont="1" applyFill="1">
      <alignment vertical="center"/>
    </xf>
    <xf numFmtId="0" fontId="22" fillId="8" borderId="16" xfId="7" applyFont="1" applyFill="1" applyBorder="1" applyAlignment="1">
      <alignment horizontal="center" vertical="center"/>
    </xf>
    <xf numFmtId="0" fontId="22" fillId="8" borderId="1" xfId="7" applyFont="1" applyFill="1" applyBorder="1" applyAlignment="1">
      <alignment horizontal="center" vertical="center"/>
    </xf>
    <xf numFmtId="0" fontId="22" fillId="8" borderId="22" xfId="7" applyFont="1" applyFill="1" applyBorder="1" applyAlignment="1">
      <alignment horizontal="center" vertical="center"/>
    </xf>
    <xf numFmtId="0" fontId="23" fillId="8" borderId="16" xfId="7" applyFont="1" applyFill="1" applyBorder="1" applyAlignment="1">
      <alignment horizontal="center" vertical="center"/>
    </xf>
    <xf numFmtId="0" fontId="23" fillId="8" borderId="1" xfId="7" applyFont="1" applyFill="1" applyBorder="1" applyAlignment="1">
      <alignment horizontal="center" vertical="center"/>
    </xf>
    <xf numFmtId="0" fontId="23" fillId="8" borderId="22" xfId="7" applyFont="1" applyFill="1" applyBorder="1" applyAlignment="1">
      <alignment horizontal="center" vertical="center"/>
    </xf>
    <xf numFmtId="0" fontId="20" fillId="8" borderId="16" xfId="7" applyFont="1" applyFill="1" applyBorder="1" applyAlignment="1">
      <alignment horizontal="center" vertical="center"/>
    </xf>
    <xf numFmtId="0" fontId="22" fillId="8" borderId="17" xfId="7" applyFont="1" applyFill="1" applyBorder="1" applyAlignment="1">
      <alignment horizontal="center" vertical="center"/>
    </xf>
    <xf numFmtId="0" fontId="22" fillId="8" borderId="18" xfId="7" applyFont="1" applyFill="1" applyBorder="1" applyAlignment="1">
      <alignment horizontal="center" vertical="center"/>
    </xf>
    <xf numFmtId="0" fontId="22" fillId="8" borderId="21" xfId="7" applyFont="1" applyFill="1" applyBorder="1" applyAlignment="1">
      <alignment horizontal="center" vertical="center"/>
    </xf>
    <xf numFmtId="0" fontId="22" fillId="8" borderId="0" xfId="7" applyFont="1" applyFill="1" applyBorder="1" applyAlignment="1">
      <alignment horizontal="center" vertical="center"/>
    </xf>
    <xf numFmtId="0" fontId="23" fillId="0" borderId="33" xfId="0" applyFont="1" applyBorder="1" applyAlignment="1">
      <alignment horizontal="center" wrapText="1"/>
    </xf>
    <xf numFmtId="0" fontId="23" fillId="0" borderId="24" xfId="0" applyFont="1" applyBorder="1" applyAlignment="1">
      <alignment horizontal="center" wrapText="1"/>
    </xf>
    <xf numFmtId="0" fontId="23" fillId="0" borderId="25" xfId="0" applyFont="1" applyBorder="1" applyAlignment="1">
      <alignment horizontal="center" wrapText="1"/>
    </xf>
    <xf numFmtId="0" fontId="22" fillId="8" borderId="0" xfId="6" applyFont="1" applyFill="1">
      <alignment vertical="center"/>
    </xf>
    <xf numFmtId="167" fontId="20" fillId="0" borderId="69" xfId="0" applyNumberFormat="1" applyFont="1" applyBorder="1" applyAlignment="1">
      <alignment horizontal="center"/>
    </xf>
    <xf numFmtId="167" fontId="20" fillId="0" borderId="63" xfId="0" applyNumberFormat="1" applyFont="1" applyBorder="1" applyAlignment="1">
      <alignment horizontal="center"/>
    </xf>
    <xf numFmtId="164" fontId="20" fillId="0" borderId="63" xfId="0" applyNumberFormat="1" applyFont="1" applyBorder="1" applyAlignment="1">
      <alignment horizontal="center"/>
    </xf>
    <xf numFmtId="164" fontId="20" fillId="0" borderId="70" xfId="0" applyNumberFormat="1" applyFont="1" applyBorder="1" applyAlignment="1">
      <alignment horizontal="center"/>
    </xf>
    <xf numFmtId="166" fontId="22" fillId="8" borderId="0" xfId="8" applyFont="1" applyFill="1">
      <alignment vertical="center"/>
    </xf>
    <xf numFmtId="166" fontId="22" fillId="8" borderId="0" xfId="8" applyFont="1" applyFill="1" applyBorder="1">
      <alignment vertical="center"/>
    </xf>
    <xf numFmtId="167" fontId="20" fillId="0" borderId="29" xfId="0" applyNumberFormat="1" applyFont="1" applyBorder="1" applyAlignment="1">
      <alignment horizontal="center"/>
    </xf>
    <xf numFmtId="167" fontId="20" fillId="0" borderId="61" xfId="0" applyNumberFormat="1" applyFont="1" applyBorder="1" applyAlignment="1">
      <alignment horizontal="center"/>
    </xf>
    <xf numFmtId="164" fontId="20" fillId="0" borderId="61" xfId="0" applyNumberFormat="1" applyFont="1" applyBorder="1" applyAlignment="1">
      <alignment horizontal="center"/>
    </xf>
    <xf numFmtId="164" fontId="20" fillId="0" borderId="71" xfId="0" applyNumberFormat="1" applyFont="1" applyBorder="1" applyAlignment="1">
      <alignment horizontal="center"/>
    </xf>
    <xf numFmtId="0" fontId="22" fillId="8" borderId="0" xfId="6" applyFont="1" applyFill="1" applyBorder="1">
      <alignment vertical="center"/>
    </xf>
    <xf numFmtId="0" fontId="23" fillId="8" borderId="0" xfId="6" applyFont="1" applyFill="1" applyBorder="1" applyAlignment="1">
      <alignment horizontal="center" vertical="center"/>
    </xf>
    <xf numFmtId="0" fontId="20" fillId="8" borderId="0" xfId="6" applyFont="1" applyFill="1" applyBorder="1" applyAlignment="1">
      <alignment horizontal="center" vertical="center"/>
    </xf>
    <xf numFmtId="167" fontId="20" fillId="0" borderId="31" xfId="0" applyNumberFormat="1" applyFont="1" applyBorder="1" applyAlignment="1">
      <alignment horizontal="center"/>
    </xf>
    <xf numFmtId="167" fontId="20" fillId="0" borderId="62" xfId="0" applyNumberFormat="1" applyFont="1" applyBorder="1" applyAlignment="1">
      <alignment horizontal="center"/>
    </xf>
    <xf numFmtId="164" fontId="20" fillId="0" borderId="62" xfId="0" applyNumberFormat="1" applyFont="1" applyBorder="1" applyAlignment="1">
      <alignment horizontal="center"/>
    </xf>
    <xf numFmtId="164" fontId="20" fillId="0" borderId="72" xfId="0" applyNumberFormat="1" applyFont="1" applyBorder="1" applyAlignment="1">
      <alignment horizontal="center"/>
    </xf>
    <xf numFmtId="0" fontId="24" fillId="9" borderId="1" xfId="6" applyFont="1" applyFill="1" applyBorder="1" applyAlignment="1">
      <alignment vertical="center"/>
    </xf>
    <xf numFmtId="0" fontId="20" fillId="8" borderId="5" xfId="6" applyFont="1" applyFill="1" applyBorder="1">
      <alignment vertical="center"/>
    </xf>
    <xf numFmtId="171" fontId="23" fillId="8" borderId="14" xfId="8" applyNumberFormat="1" applyFont="1" applyFill="1" applyBorder="1">
      <alignment vertical="center"/>
    </xf>
    <xf numFmtId="171" fontId="23" fillId="8" borderId="16" xfId="8" applyNumberFormat="1" applyFont="1" applyFill="1" applyBorder="1">
      <alignment vertical="center"/>
    </xf>
    <xf numFmtId="171" fontId="23" fillId="8" borderId="17" xfId="8" applyNumberFormat="1" applyFont="1" applyFill="1" applyBorder="1">
      <alignment vertical="center"/>
    </xf>
    <xf numFmtId="0" fontId="24" fillId="3" borderId="18" xfId="6" applyFont="1" applyFill="1" applyBorder="1" applyAlignment="1">
      <alignment vertical="center"/>
    </xf>
    <xf numFmtId="171" fontId="23" fillId="8" borderId="14" xfId="6" applyNumberFormat="1" applyFont="1" applyFill="1" applyBorder="1">
      <alignment vertical="center"/>
    </xf>
    <xf numFmtId="171" fontId="23" fillId="8" borderId="16" xfId="6" applyNumberFormat="1" applyFont="1" applyFill="1" applyBorder="1">
      <alignment vertical="center"/>
    </xf>
    <xf numFmtId="171" fontId="23" fillId="8" borderId="17" xfId="6" applyNumberFormat="1" applyFont="1" applyFill="1" applyBorder="1">
      <alignment vertical="center"/>
    </xf>
    <xf numFmtId="0" fontId="23" fillId="8" borderId="5" xfId="6" applyFont="1" applyFill="1" applyBorder="1">
      <alignment vertical="center"/>
    </xf>
    <xf numFmtId="0" fontId="24" fillId="5" borderId="15" xfId="6" applyFont="1" applyFill="1" applyBorder="1">
      <alignment vertical="center"/>
    </xf>
    <xf numFmtId="0" fontId="24" fillId="5" borderId="1" xfId="6" applyFont="1" applyFill="1" applyBorder="1">
      <alignment vertical="center"/>
    </xf>
    <xf numFmtId="171" fontId="24" fillId="5" borderId="1" xfId="6" applyNumberFormat="1" applyFont="1" applyFill="1" applyBorder="1" applyAlignment="1">
      <alignment horizontal="center" vertical="center"/>
    </xf>
    <xf numFmtId="171" fontId="24" fillId="5" borderId="22" xfId="6" applyNumberFormat="1" applyFont="1" applyFill="1" applyBorder="1" applyAlignment="1">
      <alignment horizontal="center" vertical="center"/>
    </xf>
    <xf numFmtId="171" fontId="24" fillId="5" borderId="15" xfId="6" applyNumberFormat="1" applyFont="1" applyFill="1" applyBorder="1">
      <alignment vertical="center"/>
    </xf>
    <xf numFmtId="171" fontId="24" fillId="5" borderId="23" xfId="6" applyNumberFormat="1" applyFont="1" applyFill="1" applyBorder="1">
      <alignment vertical="center"/>
    </xf>
    <xf numFmtId="166" fontId="23" fillId="8" borderId="0" xfId="8" applyFont="1" applyFill="1" applyAlignment="1">
      <alignment horizontal="right" vertical="center"/>
    </xf>
    <xf numFmtId="3" fontId="5" fillId="6" borderId="60" xfId="1" applyNumberFormat="1" applyFont="1" applyFill="1" applyBorder="1"/>
    <xf numFmtId="168" fontId="22" fillId="14" borderId="1" xfId="8" applyNumberFormat="1" applyFont="1" applyFill="1" applyBorder="1">
      <alignment vertical="center"/>
    </xf>
    <xf numFmtId="168" fontId="22" fillId="14" borderId="22" xfId="8" applyNumberFormat="1" applyFont="1" applyFill="1" applyBorder="1">
      <alignment vertical="center"/>
    </xf>
    <xf numFmtId="168" fontId="20" fillId="8" borderId="0" xfId="6" applyNumberFormat="1" applyFont="1" applyFill="1">
      <alignment vertical="center"/>
    </xf>
    <xf numFmtId="168" fontId="20" fillId="8" borderId="0" xfId="8" applyNumberFormat="1" applyFont="1" applyFill="1">
      <alignment vertical="center"/>
    </xf>
    <xf numFmtId="168" fontId="22" fillId="14" borderId="60" xfId="8" applyNumberFormat="1" applyFont="1" applyFill="1" applyBorder="1">
      <alignment vertical="center"/>
    </xf>
    <xf numFmtId="168" fontId="22" fillId="14" borderId="18" xfId="8" applyNumberFormat="1" applyFont="1" applyFill="1" applyBorder="1">
      <alignment vertical="center"/>
    </xf>
    <xf numFmtId="168" fontId="22" fillId="14" borderId="21" xfId="8" applyNumberFormat="1" applyFont="1" applyFill="1" applyBorder="1">
      <alignment vertical="center"/>
    </xf>
    <xf numFmtId="168" fontId="22" fillId="14" borderId="62" xfId="8" applyNumberFormat="1" applyFont="1" applyFill="1" applyBorder="1">
      <alignment vertical="center"/>
    </xf>
    <xf numFmtId="168" fontId="22" fillId="0" borderId="1" xfId="8" applyNumberFormat="1" applyFont="1" applyFill="1" applyBorder="1">
      <alignment vertical="center"/>
    </xf>
    <xf numFmtId="168" fontId="22" fillId="0" borderId="22" xfId="8" applyNumberFormat="1" applyFont="1" applyFill="1" applyBorder="1">
      <alignment vertical="center"/>
    </xf>
    <xf numFmtId="168" fontId="22" fillId="0" borderId="18" xfId="8" applyNumberFormat="1" applyFont="1" applyFill="1" applyBorder="1">
      <alignment vertical="center"/>
    </xf>
    <xf numFmtId="168" fontId="22" fillId="0" borderId="21" xfId="8" applyNumberFormat="1" applyFont="1" applyFill="1" applyBorder="1">
      <alignment vertical="center"/>
    </xf>
    <xf numFmtId="0" fontId="25" fillId="0" borderId="0" xfId="2" applyFont="1"/>
    <xf numFmtId="0" fontId="13" fillId="2" borderId="1" xfId="1" applyFont="1" applyFill="1" applyBorder="1"/>
    <xf numFmtId="4" fontId="13" fillId="4" borderId="1" xfId="1" applyNumberFormat="1" applyFont="1" applyFill="1" applyBorder="1"/>
    <xf numFmtId="0" fontId="13" fillId="11" borderId="1" xfId="1" applyFont="1" applyFill="1" applyBorder="1"/>
    <xf numFmtId="0" fontId="13" fillId="3" borderId="1" xfId="1" applyFont="1" applyFill="1" applyBorder="1"/>
    <xf numFmtId="4" fontId="13" fillId="7" borderId="1" xfId="1" applyNumberFormat="1" applyFont="1" applyFill="1" applyBorder="1"/>
    <xf numFmtId="0" fontId="13" fillId="0" borderId="1" xfId="1" applyFont="1" applyFill="1" applyBorder="1"/>
    <xf numFmtId="0" fontId="24" fillId="0" borderId="0" xfId="0" applyFont="1"/>
    <xf numFmtId="0" fontId="22" fillId="0" borderId="0" xfId="0" applyFont="1"/>
    <xf numFmtId="4" fontId="22" fillId="0" borderId="0" xfId="0" applyNumberFormat="1" applyFont="1"/>
    <xf numFmtId="0" fontId="24" fillId="14" borderId="1" xfId="0" applyFont="1" applyFill="1" applyBorder="1"/>
    <xf numFmtId="0" fontId="22" fillId="14" borderId="1" xfId="0" applyFont="1" applyFill="1" applyBorder="1"/>
    <xf numFmtId="2" fontId="22" fillId="0" borderId="1" xfId="0" applyNumberFormat="1" applyFont="1" applyBorder="1"/>
    <xf numFmtId="2" fontId="22" fillId="0" borderId="0" xfId="0" applyNumberFormat="1" applyFont="1"/>
    <xf numFmtId="0" fontId="24" fillId="0" borderId="0" xfId="0" applyFont="1" applyAlignment="1">
      <alignment horizontal="center" vertical="center"/>
    </xf>
    <xf numFmtId="0" fontId="24" fillId="0" borderId="0" xfId="0" quotePrefix="1" applyFont="1" applyAlignment="1">
      <alignment horizontal="center" vertical="center" wrapText="1"/>
    </xf>
    <xf numFmtId="2" fontId="22" fillId="0" borderId="0" xfId="3" applyNumberFormat="1" applyFont="1" applyAlignment="1">
      <alignment horizontal="center" vertical="center"/>
    </xf>
    <xf numFmtId="2" fontId="22" fillId="0" borderId="0" xfId="0" applyNumberFormat="1" applyFont="1" applyAlignment="1">
      <alignment horizontal="center"/>
    </xf>
    <xf numFmtId="2" fontId="22" fillId="0" borderId="0" xfId="0" applyNumberFormat="1" applyFont="1" applyAlignment="1">
      <alignment horizontal="center" vertical="center"/>
    </xf>
    <xf numFmtId="0" fontId="23" fillId="14" borderId="1" xfId="0" applyFont="1" applyFill="1" applyBorder="1" applyAlignment="1">
      <alignment horizontal="left"/>
    </xf>
    <xf numFmtId="0" fontId="24" fillId="14" borderId="1" xfId="0" applyFont="1" applyFill="1" applyBorder="1" applyAlignment="1">
      <alignment horizontal="left"/>
    </xf>
    <xf numFmtId="0" fontId="23" fillId="0" borderId="1" xfId="0" applyFont="1" applyFill="1" applyBorder="1" applyAlignment="1">
      <alignment horizontal="left"/>
    </xf>
    <xf numFmtId="0" fontId="22" fillId="14" borderId="1" xfId="0" applyFont="1" applyFill="1" applyBorder="1" applyAlignment="1">
      <alignment horizontal="left"/>
    </xf>
    <xf numFmtId="0" fontId="25" fillId="0" borderId="0" xfId="0" applyFont="1"/>
    <xf numFmtId="0" fontId="26" fillId="0" borderId="0" xfId="0" applyFont="1"/>
    <xf numFmtId="2" fontId="25" fillId="6" borderId="0" xfId="0" applyNumberFormat="1" applyFont="1" applyFill="1"/>
    <xf numFmtId="2" fontId="25" fillId="0" borderId="0" xfId="0" applyNumberFormat="1" applyFont="1"/>
    <xf numFmtId="164" fontId="25" fillId="0" borderId="0" xfId="0" applyNumberFormat="1" applyFont="1"/>
    <xf numFmtId="9" fontId="25" fillId="6" borderId="0" xfId="13" applyFont="1" applyFill="1"/>
    <xf numFmtId="9" fontId="25" fillId="0" borderId="0" xfId="13" applyFont="1"/>
    <xf numFmtId="4" fontId="13" fillId="0" borderId="0" xfId="1" applyNumberFormat="1" applyFont="1" applyFill="1"/>
    <xf numFmtId="0" fontId="13" fillId="0" borderId="0" xfId="1" applyFont="1" applyFill="1"/>
    <xf numFmtId="0" fontId="29" fillId="0" borderId="0" xfId="1" applyFont="1" applyFill="1"/>
    <xf numFmtId="0" fontId="29" fillId="0" borderId="3" xfId="9" applyFont="1" applyFill="1" applyBorder="1" applyAlignment="1">
      <alignment vertical="center" wrapText="1"/>
    </xf>
    <xf numFmtId="0" fontId="29" fillId="0" borderId="1" xfId="10" applyFont="1" applyFill="1" applyBorder="1" applyAlignment="1">
      <alignment horizontal="center" vertical="center" wrapText="1"/>
    </xf>
    <xf numFmtId="0" fontId="13" fillId="0" borderId="1" xfId="10" applyFont="1" applyFill="1" applyBorder="1" applyAlignment="1">
      <alignment horizontal="center" vertical="center" wrapText="1"/>
    </xf>
    <xf numFmtId="0" fontId="29" fillId="0" borderId="1" xfId="10" applyFont="1" applyFill="1" applyBorder="1" applyAlignment="1">
      <alignment horizontal="center" vertical="center"/>
    </xf>
    <xf numFmtId="0" fontId="30" fillId="0" borderId="1" xfId="10" applyFont="1" applyFill="1" applyBorder="1" applyAlignment="1">
      <alignment horizontal="center" vertical="center"/>
    </xf>
    <xf numFmtId="0" fontId="29" fillId="10" borderId="1" xfId="10" applyFont="1" applyFill="1" applyBorder="1" applyAlignment="1">
      <alignment horizontal="center" vertical="center" wrapText="1"/>
    </xf>
    <xf numFmtId="0" fontId="27" fillId="0" borderId="1" xfId="10" applyFont="1" applyFill="1" applyBorder="1" applyAlignment="1">
      <alignment horizontal="center" vertical="center" wrapText="1"/>
    </xf>
    <xf numFmtId="0" fontId="29" fillId="6" borderId="1" xfId="10" applyFont="1" applyFill="1" applyBorder="1" applyAlignment="1">
      <alignment horizontal="center" vertical="center" wrapText="1"/>
    </xf>
    <xf numFmtId="0" fontId="30" fillId="0" borderId="1" xfId="10" applyFont="1" applyFill="1" applyBorder="1" applyAlignment="1">
      <alignment horizontal="center" vertical="center" wrapText="1"/>
    </xf>
    <xf numFmtId="0" fontId="29" fillId="0" borderId="1" xfId="11" applyFont="1" applyFill="1" applyBorder="1" applyAlignment="1">
      <alignment horizontal="center" vertical="center" wrapText="1"/>
    </xf>
    <xf numFmtId="0" fontId="13" fillId="0" borderId="1" xfId="11" applyFont="1" applyFill="1" applyBorder="1" applyAlignment="1">
      <alignment horizontal="center" vertical="center" wrapText="1"/>
    </xf>
    <xf numFmtId="165" fontId="29" fillId="0" borderId="5" xfId="10" applyNumberFormat="1" applyFont="1" applyFill="1" applyBorder="1" applyAlignment="1">
      <alignment horizontal="center" vertical="center" wrapText="1"/>
    </xf>
    <xf numFmtId="165" fontId="13" fillId="6" borderId="1" xfId="10" applyNumberFormat="1" applyFont="1" applyFill="1" applyBorder="1" applyAlignment="1">
      <alignment horizontal="center" vertical="center"/>
    </xf>
    <xf numFmtId="0" fontId="31" fillId="6" borderId="1" xfId="9" applyFont="1" applyFill="1" applyBorder="1" applyAlignment="1">
      <alignment vertical="center"/>
    </xf>
    <xf numFmtId="3" fontId="29" fillId="0" borderId="5" xfId="10" applyNumberFormat="1" applyFont="1" applyFill="1" applyBorder="1" applyAlignment="1">
      <alignment horizontal="center" vertical="center" wrapText="1"/>
    </xf>
    <xf numFmtId="165" fontId="13" fillId="0" borderId="1" xfId="10" applyNumberFormat="1" applyFont="1" applyFill="1" applyBorder="1" applyAlignment="1">
      <alignment horizontal="center" vertical="center"/>
    </xf>
    <xf numFmtId="0" fontId="31" fillId="0" borderId="1" xfId="9" applyFont="1" applyFill="1" applyBorder="1" applyAlignment="1">
      <alignment vertical="center"/>
    </xf>
    <xf numFmtId="165" fontId="30" fillId="0" borderId="5" xfId="10" applyNumberFormat="1" applyFont="1" applyFill="1" applyBorder="1" applyAlignment="1">
      <alignment horizontal="center" vertical="center" wrapText="1"/>
    </xf>
    <xf numFmtId="165" fontId="32" fillId="0" borderId="1" xfId="10" applyNumberFormat="1" applyFont="1" applyFill="1" applyBorder="1" applyAlignment="1">
      <alignment horizontal="center" vertical="center"/>
    </xf>
    <xf numFmtId="0" fontId="33" fillId="0" borderId="1" xfId="9" applyFont="1" applyFill="1" applyBorder="1" applyAlignment="1">
      <alignment vertical="center"/>
    </xf>
    <xf numFmtId="3" fontId="13" fillId="0" borderId="1" xfId="10" applyNumberFormat="1" applyFont="1" applyFill="1" applyBorder="1" applyAlignment="1">
      <alignment horizontal="center" vertical="center"/>
    </xf>
    <xf numFmtId="0" fontId="29" fillId="10" borderId="1" xfId="10" applyFont="1" applyFill="1" applyBorder="1" applyAlignment="1">
      <alignment horizontal="left" vertical="top"/>
    </xf>
    <xf numFmtId="170" fontId="13" fillId="0" borderId="0" xfId="1" applyNumberFormat="1" applyFont="1" applyFill="1" applyBorder="1"/>
    <xf numFmtId="0" fontId="13" fillId="6" borderId="1" xfId="10" applyFont="1" applyFill="1" applyBorder="1" applyAlignment="1">
      <alignment horizontal="left" vertical="top"/>
    </xf>
    <xf numFmtId="0" fontId="13" fillId="0" borderId="1" xfId="10" applyFont="1" applyFill="1" applyBorder="1" applyAlignment="1">
      <alignment horizontal="left" vertical="top"/>
    </xf>
    <xf numFmtId="0" fontId="32" fillId="0" borderId="1" xfId="10" applyFont="1" applyFill="1" applyBorder="1" applyAlignment="1">
      <alignment horizontal="left" vertical="top"/>
    </xf>
    <xf numFmtId="3" fontId="13" fillId="0" borderId="0" xfId="1" applyNumberFormat="1" applyFont="1" applyFill="1"/>
    <xf numFmtId="0" fontId="29" fillId="0" borderId="0" xfId="1" applyFont="1" applyFill="1" applyAlignment="1">
      <alignment horizontal="left" vertical="center"/>
    </xf>
    <xf numFmtId="4" fontId="29" fillId="0" borderId="0" xfId="1" applyNumberFormat="1" applyFont="1" applyFill="1"/>
    <xf numFmtId="0" fontId="29" fillId="0" borderId="5" xfId="1" applyFont="1" applyFill="1" applyBorder="1" applyAlignment="1">
      <alignment horizontal="center" vertical="center" wrapText="1"/>
    </xf>
    <xf numFmtId="3" fontId="29" fillId="0" borderId="5" xfId="2" quotePrefix="1" applyNumberFormat="1" applyFont="1" applyFill="1" applyBorder="1" applyAlignment="1">
      <alignment vertical="center" wrapText="1"/>
    </xf>
    <xf numFmtId="3" fontId="29" fillId="0" borderId="5" xfId="2" applyNumberFormat="1" applyFont="1" applyFill="1" applyBorder="1" applyAlignment="1">
      <alignment vertical="center" wrapText="1"/>
    </xf>
    <xf numFmtId="3" fontId="29" fillId="0" borderId="5" xfId="0" applyNumberFormat="1" applyFont="1" applyFill="1" applyBorder="1" applyAlignment="1">
      <alignment vertical="center" wrapText="1"/>
    </xf>
    <xf numFmtId="0" fontId="29" fillId="0" borderId="14" xfId="1" applyFont="1" applyFill="1" applyBorder="1" applyAlignment="1">
      <alignment vertical="center" wrapText="1"/>
    </xf>
    <xf numFmtId="0" fontId="29" fillId="0" borderId="15" xfId="1" applyFont="1" applyFill="1" applyBorder="1" applyAlignment="1">
      <alignment vertical="center" wrapText="1"/>
    </xf>
    <xf numFmtId="0" fontId="13" fillId="0" borderId="15" xfId="1" applyFont="1" applyFill="1" applyBorder="1" applyAlignment="1">
      <alignment horizontal="center" vertical="center"/>
    </xf>
    <xf numFmtId="4" fontId="13" fillId="0" borderId="15" xfId="1" applyNumberFormat="1" applyFont="1" applyFill="1" applyBorder="1" applyAlignment="1">
      <alignment horizontal="center" vertical="center"/>
    </xf>
    <xf numFmtId="4" fontId="34" fillId="0" borderId="15" xfId="1" applyNumberFormat="1" applyFont="1" applyFill="1" applyBorder="1" applyAlignment="1">
      <alignment horizontal="center" vertical="center"/>
    </xf>
    <xf numFmtId="4" fontId="13" fillId="0" borderId="15" xfId="3" applyNumberFormat="1" applyFont="1" applyFill="1" applyBorder="1" applyAlignment="1">
      <alignment horizontal="center" vertical="center"/>
    </xf>
    <xf numFmtId="4" fontId="13" fillId="0" borderId="19" xfId="3" applyNumberFormat="1" applyFont="1" applyFill="1" applyBorder="1" applyAlignment="1">
      <alignment horizontal="center" vertical="center"/>
    </xf>
    <xf numFmtId="4" fontId="13" fillId="6" borderId="60" xfId="1" applyNumberFormat="1" applyFont="1" applyFill="1" applyBorder="1"/>
    <xf numFmtId="0" fontId="29" fillId="0" borderId="16" xfId="1" applyFont="1" applyFill="1" applyBorder="1" applyAlignment="1">
      <alignment vertical="center" wrapText="1"/>
    </xf>
    <xf numFmtId="0" fontId="29" fillId="0" borderId="1" xfId="1" applyFont="1" applyFill="1" applyBorder="1" applyAlignment="1">
      <alignment vertical="center" wrapText="1"/>
    </xf>
    <xf numFmtId="0" fontId="13" fillId="0" borderId="1" xfId="1" applyFont="1" applyFill="1" applyBorder="1" applyAlignment="1">
      <alignment horizontal="center" vertical="center"/>
    </xf>
    <xf numFmtId="4" fontId="13" fillId="0" borderId="1" xfId="1" applyNumberFormat="1" applyFont="1" applyFill="1" applyBorder="1" applyAlignment="1">
      <alignment horizontal="center" vertical="center"/>
    </xf>
    <xf numFmtId="4" fontId="34" fillId="0" borderId="1" xfId="1" applyNumberFormat="1" applyFont="1" applyFill="1" applyBorder="1" applyAlignment="1">
      <alignment horizontal="center" vertical="center"/>
    </xf>
    <xf numFmtId="4" fontId="13" fillId="0" borderId="1" xfId="3" applyNumberFormat="1" applyFont="1" applyFill="1" applyBorder="1" applyAlignment="1">
      <alignment horizontal="center" vertical="center"/>
    </xf>
    <xf numFmtId="4" fontId="13" fillId="0" borderId="2" xfId="3" applyNumberFormat="1" applyFont="1" applyFill="1" applyBorder="1" applyAlignment="1">
      <alignment horizontal="center" vertical="center"/>
    </xf>
    <xf numFmtId="4" fontId="13" fillId="6" borderId="61" xfId="1" applyNumberFormat="1" applyFont="1" applyFill="1" applyBorder="1"/>
    <xf numFmtId="0" fontId="29" fillId="0" borderId="17" xfId="1" applyFont="1" applyFill="1" applyBorder="1" applyAlignment="1">
      <alignment vertical="center" wrapText="1"/>
    </xf>
    <xf numFmtId="0" fontId="29" fillId="0" borderId="18" xfId="1" applyFont="1" applyFill="1" applyBorder="1" applyAlignment="1">
      <alignment vertical="center" wrapText="1"/>
    </xf>
    <xf numFmtId="0" fontId="13" fillId="0" borderId="18" xfId="1" applyFont="1" applyFill="1" applyBorder="1" applyAlignment="1">
      <alignment horizontal="center" vertical="center"/>
    </xf>
    <xf numFmtId="4" fontId="13" fillId="0" borderId="18" xfId="1" applyNumberFormat="1" applyFont="1" applyFill="1" applyBorder="1" applyAlignment="1">
      <alignment horizontal="center" vertical="center"/>
    </xf>
    <xf numFmtId="4" fontId="34" fillId="0" borderId="18" xfId="1" applyNumberFormat="1" applyFont="1" applyFill="1" applyBorder="1" applyAlignment="1">
      <alignment horizontal="center" vertical="center"/>
    </xf>
    <xf numFmtId="4" fontId="13" fillId="0" borderId="18" xfId="3" applyNumberFormat="1" applyFont="1" applyFill="1" applyBorder="1" applyAlignment="1">
      <alignment horizontal="center" vertical="center"/>
    </xf>
    <xf numFmtId="4" fontId="13" fillId="0" borderId="20" xfId="3" applyNumberFormat="1" applyFont="1" applyFill="1" applyBorder="1" applyAlignment="1">
      <alignment horizontal="center" vertical="center"/>
    </xf>
    <xf numFmtId="4" fontId="13" fillId="6" borderId="62" xfId="1" applyNumberFormat="1" applyFont="1" applyFill="1" applyBorder="1"/>
    <xf numFmtId="0" fontId="29" fillId="6" borderId="1" xfId="11" applyFont="1" applyFill="1" applyBorder="1" applyAlignment="1">
      <alignment horizontal="center" vertical="center" wrapText="1"/>
    </xf>
    <xf numFmtId="164" fontId="13" fillId="0" borderId="0" xfId="1" applyNumberFormat="1" applyFont="1" applyFill="1"/>
    <xf numFmtId="0" fontId="29" fillId="0" borderId="6" xfId="1" applyFont="1" applyFill="1" applyBorder="1" applyAlignment="1">
      <alignment vertical="center" wrapText="1"/>
    </xf>
    <xf numFmtId="0" fontId="13" fillId="0" borderId="6" xfId="1" applyFont="1" applyFill="1" applyBorder="1" applyAlignment="1">
      <alignment horizontal="center" vertical="center"/>
    </xf>
    <xf numFmtId="4" fontId="13" fillId="0" borderId="6" xfId="1" applyNumberFormat="1" applyFont="1" applyFill="1" applyBorder="1" applyAlignment="1">
      <alignment horizontal="center" vertical="center"/>
    </xf>
    <xf numFmtId="4" fontId="34" fillId="0" borderId="6" xfId="1" applyNumberFormat="1" applyFont="1" applyFill="1" applyBorder="1" applyAlignment="1">
      <alignment horizontal="center" vertical="center"/>
    </xf>
    <xf numFmtId="4" fontId="13" fillId="0" borderId="6" xfId="3" applyNumberFormat="1" applyFont="1" applyFill="1" applyBorder="1" applyAlignment="1">
      <alignment horizontal="center" vertical="center"/>
    </xf>
    <xf numFmtId="9" fontId="13" fillId="0" borderId="15" xfId="13" applyFont="1" applyFill="1" applyBorder="1" applyAlignment="1">
      <alignment horizontal="center" vertical="center"/>
    </xf>
    <xf numFmtId="9" fontId="34" fillId="0" borderId="15" xfId="13" applyFont="1" applyFill="1" applyBorder="1" applyAlignment="1">
      <alignment horizontal="center" vertical="center"/>
    </xf>
    <xf numFmtId="9" fontId="13" fillId="0" borderId="19" xfId="13" applyFont="1" applyFill="1" applyBorder="1" applyAlignment="1">
      <alignment horizontal="center" vertical="center"/>
    </xf>
    <xf numFmtId="9" fontId="13" fillId="6" borderId="60" xfId="13" applyFont="1" applyFill="1" applyBorder="1"/>
    <xf numFmtId="9" fontId="13" fillId="0" borderId="1" xfId="13" applyFont="1" applyFill="1" applyBorder="1" applyAlignment="1">
      <alignment horizontal="center" vertical="center"/>
    </xf>
    <xf numFmtId="9" fontId="34" fillId="0" borderId="1" xfId="13" applyFont="1" applyFill="1" applyBorder="1" applyAlignment="1">
      <alignment horizontal="center" vertical="center"/>
    </xf>
    <xf numFmtId="9" fontId="13" fillId="0" borderId="2" xfId="13" applyFont="1" applyFill="1" applyBorder="1" applyAlignment="1">
      <alignment horizontal="center" vertical="center"/>
    </xf>
    <xf numFmtId="9" fontId="13" fillId="6" borderId="61" xfId="13" applyFont="1" applyFill="1" applyBorder="1"/>
    <xf numFmtId="9" fontId="13" fillId="0" borderId="0" xfId="13" applyFont="1" applyFill="1"/>
    <xf numFmtId="9" fontId="13" fillId="0" borderId="18" xfId="13" applyFont="1" applyFill="1" applyBorder="1" applyAlignment="1">
      <alignment horizontal="center" vertical="center"/>
    </xf>
    <xf numFmtId="9" fontId="34" fillId="0" borderId="18" xfId="13" applyFont="1" applyFill="1" applyBorder="1" applyAlignment="1">
      <alignment horizontal="center" vertical="center"/>
    </xf>
    <xf numFmtId="9" fontId="13" fillId="0" borderId="20" xfId="13" applyFont="1" applyFill="1" applyBorder="1" applyAlignment="1">
      <alignment horizontal="center" vertical="center"/>
    </xf>
    <xf numFmtId="9" fontId="13" fillId="6" borderId="62" xfId="13" applyFont="1" applyFill="1" applyBorder="1"/>
    <xf numFmtId="3" fontId="13" fillId="0" borderId="0" xfId="1" applyNumberFormat="1" applyFont="1" applyFill="1" applyAlignment="1">
      <alignment horizontal="center"/>
    </xf>
    <xf numFmtId="0" fontId="13" fillId="0" borderId="0" xfId="1" applyFont="1" applyFill="1" applyAlignment="1">
      <alignment horizontal="left" vertical="center"/>
    </xf>
    <xf numFmtId="4" fontId="29" fillId="0" borderId="4" xfId="1" applyNumberFormat="1" applyFont="1" applyFill="1" applyBorder="1" applyAlignment="1">
      <alignment horizontal="center"/>
    </xf>
    <xf numFmtId="0" fontId="29" fillId="0" borderId="0" xfId="1" applyFont="1" applyFill="1" applyBorder="1" applyAlignment="1">
      <alignment horizontal="center" vertical="center"/>
    </xf>
    <xf numFmtId="0" fontId="29" fillId="0" borderId="0" xfId="1" quotePrefix="1" applyFont="1" applyFill="1" applyBorder="1" applyAlignment="1">
      <alignment horizontal="center" vertical="center" wrapText="1"/>
    </xf>
    <xf numFmtId="0" fontId="29" fillId="0" borderId="5" xfId="1" applyFont="1" applyFill="1" applyBorder="1" applyAlignment="1">
      <alignment horizontal="center"/>
    </xf>
    <xf numFmtId="2" fontId="13" fillId="0" borderId="0" xfId="3" applyNumberFormat="1" applyFont="1" applyFill="1" applyBorder="1" applyAlignment="1">
      <alignment horizontal="center" vertical="center"/>
    </xf>
    <xf numFmtId="2" fontId="13" fillId="0" borderId="0" xfId="1" applyNumberFormat="1" applyFont="1" applyFill="1" applyBorder="1" applyAlignment="1">
      <alignment horizontal="center"/>
    </xf>
    <xf numFmtId="2" fontId="13" fillId="0" borderId="0" xfId="1" applyNumberFormat="1" applyFont="1" applyFill="1" applyBorder="1" applyAlignment="1">
      <alignment horizontal="center" vertical="center"/>
    </xf>
    <xf numFmtId="165" fontId="29" fillId="0" borderId="1" xfId="10" applyNumberFormat="1" applyFont="1" applyFill="1" applyBorder="1" applyAlignment="1">
      <alignment horizontal="center" vertical="center" wrapText="1"/>
    </xf>
    <xf numFmtId="3" fontId="29" fillId="0" borderId="1" xfId="10" applyNumberFormat="1" applyFont="1" applyFill="1" applyBorder="1" applyAlignment="1">
      <alignment horizontal="center" vertical="center" wrapText="1"/>
    </xf>
    <xf numFmtId="165" fontId="30" fillId="0" borderId="1" xfId="10" applyNumberFormat="1" applyFont="1" applyFill="1" applyBorder="1" applyAlignment="1">
      <alignment horizontal="center" vertical="center" wrapText="1"/>
    </xf>
    <xf numFmtId="2" fontId="29" fillId="0" borderId="0" xfId="3" applyNumberFormat="1" applyFont="1" applyFill="1" applyBorder="1" applyAlignment="1">
      <alignment horizontal="center" vertical="center"/>
    </xf>
    <xf numFmtId="2" fontId="29" fillId="0" borderId="0" xfId="1" applyNumberFormat="1" applyFont="1" applyFill="1" applyBorder="1" applyAlignment="1">
      <alignment horizontal="center"/>
    </xf>
    <xf numFmtId="4" fontId="25" fillId="0" borderId="1" xfId="1" applyNumberFormat="1" applyFont="1" applyFill="1" applyBorder="1" applyAlignment="1">
      <alignment horizontal="center"/>
    </xf>
    <xf numFmtId="4" fontId="13" fillId="0" borderId="1" xfId="1" applyNumberFormat="1" applyFont="1" applyFill="1" applyBorder="1" applyAlignment="1">
      <alignment horizontal="center"/>
    </xf>
    <xf numFmtId="0" fontId="13" fillId="0" borderId="0" xfId="1" applyFont="1" applyFill="1" applyAlignment="1"/>
    <xf numFmtId="4" fontId="13" fillId="0" borderId="0" xfId="1" applyNumberFormat="1" applyFont="1" applyFill="1" applyAlignment="1"/>
    <xf numFmtId="166" fontId="25" fillId="8" borderId="0" xfId="8" applyFont="1" applyFill="1">
      <alignment vertical="center"/>
    </xf>
    <xf numFmtId="166" fontId="25" fillId="8" borderId="0" xfId="8" applyFont="1" applyFill="1" applyBorder="1">
      <alignment vertical="center"/>
    </xf>
    <xf numFmtId="166" fontId="13" fillId="8" borderId="0" xfId="8" applyFont="1" applyFill="1">
      <alignment vertical="center"/>
    </xf>
    <xf numFmtId="0" fontId="13" fillId="8" borderId="0" xfId="6" applyFont="1" applyFill="1">
      <alignment vertical="center"/>
    </xf>
    <xf numFmtId="165" fontId="13" fillId="0" borderId="1" xfId="1" applyNumberFormat="1" applyFont="1" applyFill="1" applyBorder="1" applyAlignment="1"/>
    <xf numFmtId="0" fontId="24" fillId="0" borderId="1" xfId="0" applyFont="1" applyBorder="1"/>
    <xf numFmtId="0" fontId="22" fillId="0" borderId="1" xfId="0" applyFont="1" applyBorder="1"/>
    <xf numFmtId="0" fontId="25" fillId="0" borderId="0" xfId="0" applyFont="1" applyBorder="1" applyAlignment="1">
      <alignment horizontal="center" vertical="center" wrapText="1"/>
    </xf>
    <xf numFmtId="12" fontId="13" fillId="0" borderId="0" xfId="0" applyNumberFormat="1" applyFont="1" applyBorder="1" applyAlignment="1">
      <alignment horizontal="center" vertical="center" wrapText="1"/>
    </xf>
    <xf numFmtId="0" fontId="24" fillId="0" borderId="1" xfId="0" applyFont="1" applyBorder="1" applyAlignment="1">
      <alignment horizontal="center"/>
    </xf>
    <xf numFmtId="0" fontId="29" fillId="0" borderId="5" xfId="1" applyFont="1" applyFill="1" applyBorder="1" applyAlignment="1">
      <alignment horizontal="center" vertical="center" wrapText="1"/>
    </xf>
    <xf numFmtId="0" fontId="4" fillId="0" borderId="1" xfId="0" applyFont="1" applyBorder="1" applyAlignment="1">
      <alignment vertical="center" wrapText="1"/>
    </xf>
    <xf numFmtId="0" fontId="5" fillId="0" borderId="1" xfId="0" applyFont="1" applyBorder="1" applyAlignment="1">
      <alignment horizontal="center" vertical="center"/>
    </xf>
    <xf numFmtId="4" fontId="5" fillId="0" borderId="1" xfId="3" applyNumberFormat="1" applyFont="1" applyBorder="1" applyAlignment="1">
      <alignment horizontal="center" vertical="center"/>
    </xf>
    <xf numFmtId="0" fontId="4" fillId="0" borderId="1" xfId="0" applyFont="1" applyBorder="1" applyAlignment="1">
      <alignment vertical="center"/>
    </xf>
    <xf numFmtId="0" fontId="4" fillId="0" borderId="1" xfId="0" quotePrefix="1" applyFont="1" applyBorder="1" applyAlignment="1">
      <alignment vertical="center" wrapText="1"/>
    </xf>
    <xf numFmtId="4" fontId="4" fillId="0" borderId="1" xfId="0" applyNumberFormat="1" applyFont="1" applyBorder="1" applyAlignment="1">
      <alignment vertical="center"/>
    </xf>
    <xf numFmtId="4" fontId="5" fillId="0" borderId="1" xfId="0" applyNumberFormat="1" applyFont="1" applyFill="1" applyBorder="1" applyAlignment="1">
      <alignment horizontal="center" vertical="center"/>
    </xf>
    <xf numFmtId="4" fontId="6" fillId="0" borderId="1" xfId="0" applyNumberFormat="1" applyFont="1" applyFill="1" applyBorder="1" applyAlignment="1">
      <alignment horizontal="center"/>
    </xf>
    <xf numFmtId="4" fontId="22" fillId="14" borderId="1" xfId="0" applyNumberFormat="1" applyFont="1" applyFill="1" applyBorder="1"/>
    <xf numFmtId="0" fontId="24" fillId="0" borderId="1" xfId="0" applyFont="1" applyBorder="1" applyAlignment="1">
      <alignment wrapText="1"/>
    </xf>
    <xf numFmtId="0" fontId="13" fillId="0" borderId="1" xfId="10" applyFont="1" applyFill="1" applyBorder="1" applyAlignment="1">
      <alignment horizontal="center" vertical="center" wrapText="1"/>
    </xf>
    <xf numFmtId="0" fontId="29" fillId="6" borderId="1" xfId="10" applyFont="1" applyFill="1" applyBorder="1" applyAlignment="1">
      <alignment horizontal="center" vertical="center" wrapText="1"/>
    </xf>
    <xf numFmtId="0" fontId="29" fillId="0" borderId="1" xfId="10" applyFont="1" applyFill="1" applyBorder="1" applyAlignment="1">
      <alignment horizontal="center" vertical="center" wrapText="1"/>
    </xf>
    <xf numFmtId="0" fontId="30" fillId="0" borderId="1" xfId="10" applyFont="1" applyFill="1" applyBorder="1" applyAlignment="1">
      <alignment horizontal="center" vertical="center" wrapText="1"/>
    </xf>
    <xf numFmtId="12" fontId="22" fillId="0" borderId="1" xfId="0" applyNumberFormat="1" applyFont="1" applyBorder="1"/>
    <xf numFmtId="0" fontId="22" fillId="0" borderId="5" xfId="0" applyFont="1" applyBorder="1"/>
    <xf numFmtId="0" fontId="13" fillId="0" borderId="1" xfId="0" applyFont="1" applyBorder="1"/>
    <xf numFmtId="2" fontId="13" fillId="0" borderId="1" xfId="0" applyNumberFormat="1" applyFont="1" applyBorder="1"/>
    <xf numFmtId="4" fontId="22" fillId="0" borderId="1" xfId="0" applyNumberFormat="1" applyFont="1" applyBorder="1"/>
    <xf numFmtId="3" fontId="22" fillId="0" borderId="0" xfId="0" applyNumberFormat="1" applyFont="1"/>
    <xf numFmtId="0" fontId="22" fillId="0" borderId="1" xfId="0" applyFont="1" applyBorder="1" applyAlignment="1">
      <alignment horizontal="center"/>
    </xf>
    <xf numFmtId="1" fontId="22" fillId="0" borderId="1" xfId="0" applyNumberFormat="1" applyFont="1" applyBorder="1" applyAlignment="1">
      <alignment horizontal="center"/>
    </xf>
    <xf numFmtId="0" fontId="4" fillId="0" borderId="1" xfId="2" applyFont="1" applyFill="1" applyBorder="1" applyAlignment="1">
      <alignment vertical="center" wrapText="1"/>
    </xf>
    <xf numFmtId="0" fontId="4" fillId="0" borderId="1" xfId="2" applyFont="1" applyFill="1" applyBorder="1" applyAlignment="1">
      <alignment vertical="center"/>
    </xf>
    <xf numFmtId="0" fontId="4" fillId="0" borderId="7" xfId="2" applyFont="1" applyFill="1" applyBorder="1" applyAlignment="1">
      <alignment vertical="center" wrapText="1"/>
    </xf>
    <xf numFmtId="0" fontId="4" fillId="0" borderId="8" xfId="2" applyFont="1" applyFill="1" applyBorder="1" applyAlignment="1">
      <alignment vertical="center" wrapText="1"/>
    </xf>
    <xf numFmtId="0" fontId="4" fillId="0" borderId="11" xfId="2" applyFont="1" applyFill="1" applyBorder="1" applyAlignment="1">
      <alignment vertical="center" wrapText="1"/>
    </xf>
    <xf numFmtId="0" fontId="4" fillId="0" borderId="12" xfId="2" applyFont="1" applyFill="1" applyBorder="1" applyAlignment="1">
      <alignment vertical="center" wrapText="1"/>
    </xf>
    <xf numFmtId="0" fontId="4" fillId="0" borderId="9" xfId="2" applyFont="1" applyFill="1" applyBorder="1" applyAlignment="1">
      <alignment vertical="center" wrapText="1"/>
    </xf>
    <xf numFmtId="0" fontId="4" fillId="0" borderId="10" xfId="2" applyFont="1" applyFill="1" applyBorder="1" applyAlignment="1">
      <alignment vertical="center" wrapText="1"/>
    </xf>
    <xf numFmtId="1" fontId="29" fillId="0" borderId="5" xfId="1" quotePrefix="1" applyNumberFormat="1" applyFont="1" applyFill="1" applyBorder="1" applyAlignment="1">
      <alignment horizontal="center" vertical="center" wrapText="1"/>
    </xf>
    <xf numFmtId="1" fontId="29" fillId="0" borderId="5" xfId="1" applyNumberFormat="1" applyFont="1" applyFill="1" applyBorder="1" applyAlignment="1">
      <alignment horizontal="center" vertical="center" wrapText="1"/>
    </xf>
    <xf numFmtId="43" fontId="13" fillId="0" borderId="0" xfId="1" applyNumberFormat="1" applyFont="1" applyFill="1"/>
    <xf numFmtId="2" fontId="24" fillId="0" borderId="1" xfId="0" applyNumberFormat="1" applyFont="1" applyBorder="1"/>
    <xf numFmtId="0" fontId="25" fillId="0" borderId="1" xfId="0" applyFont="1" applyBorder="1" applyAlignment="1">
      <alignment horizontal="center" vertical="center" wrapText="1"/>
    </xf>
    <xf numFmtId="12" fontId="13" fillId="0" borderId="1" xfId="0" applyNumberFormat="1" applyFont="1" applyBorder="1" applyAlignment="1">
      <alignment horizontal="center" vertical="center" wrapText="1"/>
    </xf>
    <xf numFmtId="4" fontId="25" fillId="0" borderId="75" xfId="2" applyNumberFormat="1" applyFont="1" applyBorder="1" applyAlignment="1" applyProtection="1">
      <alignment horizontal="center"/>
      <protection hidden="1"/>
    </xf>
    <xf numFmtId="0" fontId="25" fillId="0" borderId="75" xfId="2" applyFont="1" applyBorder="1" applyAlignment="1" applyProtection="1">
      <alignment horizontal="center"/>
      <protection hidden="1"/>
    </xf>
    <xf numFmtId="4" fontId="25" fillId="0" borderId="50" xfId="2" applyNumberFormat="1" applyFont="1" applyBorder="1" applyAlignment="1" applyProtection="1">
      <alignment horizontal="center"/>
      <protection hidden="1"/>
    </xf>
    <xf numFmtId="0" fontId="25" fillId="0" borderId="50" xfId="2" applyFont="1" applyBorder="1" applyAlignment="1" applyProtection="1">
      <alignment horizontal="center"/>
      <protection hidden="1"/>
    </xf>
    <xf numFmtId="4" fontId="25" fillId="0" borderId="51" xfId="2" applyNumberFormat="1" applyFont="1" applyBorder="1" applyAlignment="1" applyProtection="1">
      <alignment horizontal="center"/>
      <protection hidden="1"/>
    </xf>
    <xf numFmtId="0" fontId="25" fillId="0" borderId="51" xfId="2" applyFont="1" applyBorder="1" applyAlignment="1" applyProtection="1">
      <alignment horizontal="center"/>
      <protection hidden="1"/>
    </xf>
    <xf numFmtId="4" fontId="25" fillId="0" borderId="49" xfId="2" applyNumberFormat="1" applyFont="1" applyBorder="1" applyAlignment="1" applyProtection="1">
      <alignment horizontal="center"/>
      <protection hidden="1"/>
    </xf>
    <xf numFmtId="0" fontId="25" fillId="0" borderId="49" xfId="2" applyFont="1" applyBorder="1" applyAlignment="1" applyProtection="1">
      <alignment horizontal="center"/>
      <protection hidden="1"/>
    </xf>
    <xf numFmtId="9" fontId="25" fillId="0" borderId="51" xfId="13" applyFont="1" applyBorder="1" applyAlignment="1" applyProtection="1">
      <alignment horizontal="center"/>
      <protection hidden="1"/>
    </xf>
    <xf numFmtId="0" fontId="43" fillId="15" borderId="0" xfId="2" applyFont="1" applyFill="1" applyProtection="1">
      <protection hidden="1"/>
    </xf>
    <xf numFmtId="0" fontId="42" fillId="15" borderId="0" xfId="14" applyFont="1" applyFill="1" applyBorder="1" applyAlignment="1" applyProtection="1">
      <alignment vertical="center"/>
      <protection hidden="1"/>
    </xf>
    <xf numFmtId="0" fontId="25" fillId="0" borderId="0" xfId="2" applyFont="1" applyProtection="1">
      <protection hidden="1"/>
    </xf>
    <xf numFmtId="0" fontId="25" fillId="15" borderId="0" xfId="2" applyFont="1" applyFill="1" applyProtection="1">
      <protection hidden="1"/>
    </xf>
    <xf numFmtId="0" fontId="25" fillId="0" borderId="27" xfId="2" applyFont="1" applyBorder="1" applyAlignment="1" applyProtection="1">
      <protection hidden="1"/>
    </xf>
    <xf numFmtId="0" fontId="26" fillId="0" borderId="14" xfId="2" applyFont="1" applyBorder="1" applyProtection="1">
      <protection hidden="1"/>
    </xf>
    <xf numFmtId="0" fontId="25" fillId="0" borderId="29" xfId="2" applyFont="1" applyBorder="1" applyAlignment="1" applyProtection="1">
      <protection hidden="1"/>
    </xf>
    <xf numFmtId="0" fontId="25" fillId="0" borderId="38" xfId="2" applyFont="1" applyBorder="1" applyProtection="1">
      <protection hidden="1"/>
    </xf>
    <xf numFmtId="12" fontId="25" fillId="0" borderId="39" xfId="2" applyNumberFormat="1" applyFont="1" applyBorder="1" applyProtection="1">
      <protection hidden="1"/>
    </xf>
    <xf numFmtId="12" fontId="25" fillId="0" borderId="40" xfId="2" applyNumberFormat="1" applyFont="1" applyBorder="1" applyProtection="1">
      <protection hidden="1"/>
    </xf>
    <xf numFmtId="0" fontId="25" fillId="0" borderId="41" xfId="2" applyFont="1" applyBorder="1" applyProtection="1">
      <protection hidden="1"/>
    </xf>
    <xf numFmtId="12" fontId="25" fillId="0" borderId="42" xfId="2" applyNumberFormat="1" applyFont="1" applyBorder="1" applyProtection="1">
      <protection hidden="1"/>
    </xf>
    <xf numFmtId="12" fontId="25" fillId="0" borderId="43" xfId="2" applyNumberFormat="1" applyFont="1" applyBorder="1" applyProtection="1">
      <protection hidden="1"/>
    </xf>
    <xf numFmtId="0" fontId="25" fillId="0" borderId="31" xfId="2" applyFont="1" applyBorder="1" applyAlignment="1" applyProtection="1">
      <protection hidden="1"/>
    </xf>
    <xf numFmtId="0" fontId="25" fillId="0" borderId="40" xfId="2" applyFont="1" applyBorder="1" applyProtection="1">
      <protection hidden="1"/>
    </xf>
    <xf numFmtId="0" fontId="26" fillId="0" borderId="25" xfId="2" applyFont="1" applyBorder="1" applyAlignment="1" applyProtection="1">
      <alignment horizontal="center"/>
      <protection hidden="1"/>
    </xf>
    <xf numFmtId="0" fontId="26" fillId="0" borderId="73" xfId="2" applyFont="1" applyBorder="1" applyAlignment="1" applyProtection="1">
      <alignment horizontal="center"/>
      <protection hidden="1"/>
    </xf>
    <xf numFmtId="0" fontId="26" fillId="0" borderId="30" xfId="2" applyFont="1" applyBorder="1" applyAlignment="1" applyProtection="1">
      <alignment horizontal="center"/>
      <protection hidden="1"/>
    </xf>
    <xf numFmtId="0" fontId="25" fillId="0" borderId="27" xfId="2" applyFont="1" applyBorder="1" applyProtection="1">
      <protection hidden="1"/>
    </xf>
    <xf numFmtId="43" fontId="25" fillId="8" borderId="14" xfId="0" applyNumberFormat="1" applyFont="1" applyFill="1" applyBorder="1" applyAlignment="1" applyProtection="1">
      <protection hidden="1"/>
    </xf>
    <xf numFmtId="43" fontId="25" fillId="8" borderId="23" xfId="0" applyNumberFormat="1" applyFont="1" applyFill="1" applyBorder="1" applyAlignment="1" applyProtection="1">
      <protection hidden="1"/>
    </xf>
    <xf numFmtId="0" fontId="25" fillId="0" borderId="0" xfId="2" applyFont="1" applyBorder="1" applyProtection="1">
      <protection hidden="1"/>
    </xf>
    <xf numFmtId="0" fontId="25" fillId="0" borderId="31" xfId="2" applyFont="1" applyBorder="1" applyProtection="1">
      <protection hidden="1"/>
    </xf>
    <xf numFmtId="43" fontId="25" fillId="8" borderId="17" xfId="0" applyNumberFormat="1" applyFont="1" applyFill="1" applyBorder="1" applyAlignment="1" applyProtection="1">
      <protection hidden="1"/>
    </xf>
    <xf numFmtId="43" fontId="25" fillId="8" borderId="21" xfId="0" applyNumberFormat="1" applyFont="1" applyFill="1" applyBorder="1" applyAlignment="1" applyProtection="1">
      <protection hidden="1"/>
    </xf>
    <xf numFmtId="4" fontId="13" fillId="0" borderId="33" xfId="1" applyNumberFormat="1" applyFont="1" applyFill="1" applyBorder="1" applyProtection="1">
      <protection hidden="1"/>
    </xf>
    <xf numFmtId="43" fontId="25" fillId="8" borderId="34" xfId="0" applyNumberFormat="1" applyFont="1" applyFill="1" applyBorder="1" applyAlignment="1" applyProtection="1">
      <protection hidden="1"/>
    </xf>
    <xf numFmtId="43" fontId="25" fillId="8" borderId="35" xfId="0" applyNumberFormat="1" applyFont="1" applyFill="1" applyBorder="1" applyAlignment="1" applyProtection="1">
      <protection hidden="1"/>
    </xf>
    <xf numFmtId="0" fontId="25" fillId="0" borderId="37" xfId="2" applyFont="1" applyBorder="1" applyProtection="1">
      <protection hidden="1"/>
    </xf>
    <xf numFmtId="0" fontId="25" fillId="0" borderId="56" xfId="2" applyFont="1" applyBorder="1" applyProtection="1">
      <protection hidden="1"/>
    </xf>
    <xf numFmtId="43" fontId="26" fillId="8" borderId="17" xfId="0" applyNumberFormat="1" applyFont="1" applyFill="1" applyBorder="1" applyAlignment="1" applyProtection="1">
      <alignment horizontal="left" indent="1"/>
      <protection hidden="1"/>
    </xf>
    <xf numFmtId="43" fontId="26" fillId="8" borderId="21" xfId="0" applyNumberFormat="1" applyFont="1" applyFill="1" applyBorder="1" applyAlignment="1" applyProtection="1">
      <alignment horizontal="left" indent="1"/>
      <protection hidden="1"/>
    </xf>
    <xf numFmtId="0" fontId="25" fillId="0" borderId="23" xfId="2" applyNumberFormat="1" applyFont="1" applyBorder="1" applyAlignment="1" applyProtection="1">
      <alignment horizontal="center"/>
      <protection hidden="1"/>
    </xf>
    <xf numFmtId="0" fontId="25" fillId="0" borderId="22" xfId="2" applyNumberFormat="1" applyFont="1" applyBorder="1" applyAlignment="1" applyProtection="1">
      <alignment horizontal="center"/>
      <protection hidden="1"/>
    </xf>
    <xf numFmtId="0" fontId="25" fillId="0" borderId="21" xfId="2" applyNumberFormat="1" applyFont="1" applyBorder="1" applyAlignment="1" applyProtection="1">
      <alignment horizontal="center"/>
      <protection hidden="1"/>
    </xf>
    <xf numFmtId="0" fontId="25" fillId="0" borderId="55" xfId="2" applyFont="1" applyBorder="1" applyProtection="1">
      <protection hidden="1"/>
    </xf>
    <xf numFmtId="0" fontId="26" fillId="0" borderId="24" xfId="2" applyFont="1" applyBorder="1" applyAlignment="1" applyProtection="1">
      <alignment horizontal="center"/>
      <protection hidden="1"/>
    </xf>
    <xf numFmtId="0" fontId="25" fillId="0" borderId="75" xfId="2" applyFont="1" applyBorder="1" applyAlignment="1" applyProtection="1">
      <alignment horizontal="center"/>
      <protection locked="0" hidden="1"/>
    </xf>
    <xf numFmtId="0" fontId="25" fillId="0" borderId="50" xfId="2" applyFont="1" applyBorder="1" applyAlignment="1" applyProtection="1">
      <alignment horizontal="center"/>
      <protection locked="0" hidden="1"/>
    </xf>
    <xf numFmtId="0" fontId="25" fillId="0" borderId="51" xfId="2" applyFont="1" applyBorder="1" applyAlignment="1" applyProtection="1">
      <alignment horizontal="center"/>
      <protection locked="0" hidden="1"/>
    </xf>
    <xf numFmtId="1" fontId="25" fillId="0" borderId="0" xfId="2" applyNumberFormat="1" applyFont="1" applyProtection="1">
      <protection hidden="1"/>
    </xf>
    <xf numFmtId="0" fontId="25" fillId="0" borderId="0" xfId="2" applyFont="1" applyAlignment="1" applyProtection="1">
      <alignment wrapText="1"/>
      <protection hidden="1"/>
    </xf>
    <xf numFmtId="0" fontId="25" fillId="0" borderId="11" xfId="2" applyFont="1" applyBorder="1" applyProtection="1">
      <protection hidden="1"/>
    </xf>
    <xf numFmtId="0" fontId="25" fillId="0" borderId="12" xfId="2" applyFont="1" applyBorder="1" applyProtection="1">
      <protection hidden="1"/>
    </xf>
    <xf numFmtId="1" fontId="36" fillId="0" borderId="11" xfId="0" quotePrefix="1" applyNumberFormat="1" applyFont="1" applyBorder="1" applyAlignment="1" applyProtection="1">
      <alignment horizontal="center"/>
      <protection hidden="1"/>
    </xf>
    <xf numFmtId="0" fontId="36" fillId="0" borderId="12" xfId="0" applyFont="1" applyBorder="1" applyAlignment="1" applyProtection="1">
      <alignment horizontal="center"/>
      <protection hidden="1"/>
    </xf>
    <xf numFmtId="0" fontId="36" fillId="0" borderId="11" xfId="0" applyFont="1" applyBorder="1" applyAlignment="1" applyProtection="1">
      <alignment horizontal="center"/>
      <protection hidden="1"/>
    </xf>
    <xf numFmtId="0" fontId="36" fillId="0" borderId="0" xfId="0" applyFont="1" applyBorder="1" applyAlignment="1" applyProtection="1">
      <alignment horizontal="center"/>
      <protection hidden="1"/>
    </xf>
    <xf numFmtId="0" fontId="25" fillId="16" borderId="50" xfId="2" applyFont="1" applyFill="1" applyBorder="1" applyAlignment="1" applyProtection="1">
      <alignment horizontal="center"/>
      <protection locked="0" hidden="1"/>
    </xf>
    <xf numFmtId="0" fontId="25" fillId="16" borderId="75" xfId="2" applyFont="1" applyFill="1" applyBorder="1" applyAlignment="1" applyProtection="1">
      <alignment horizontal="center"/>
      <protection locked="0" hidden="1"/>
    </xf>
    <xf numFmtId="0" fontId="25" fillId="16" borderId="51" xfId="2" applyFont="1" applyFill="1" applyBorder="1" applyAlignment="1" applyProtection="1">
      <alignment horizontal="center"/>
      <protection locked="0" hidden="1"/>
    </xf>
    <xf numFmtId="0" fontId="25" fillId="0" borderId="0" xfId="2" applyFont="1" applyBorder="1" applyProtection="1">
      <protection hidden="1"/>
    </xf>
    <xf numFmtId="0" fontId="25" fillId="0" borderId="48" xfId="2" applyFont="1" applyBorder="1" applyAlignment="1" applyProtection="1">
      <alignment horizontal="right"/>
      <protection hidden="1"/>
    </xf>
    <xf numFmtId="0" fontId="25" fillId="16" borderId="24" xfId="2" applyFont="1" applyFill="1" applyBorder="1" applyAlignment="1" applyProtection="1">
      <alignment horizontal="center"/>
      <protection locked="0" hidden="1"/>
    </xf>
    <xf numFmtId="0" fontId="37" fillId="0" borderId="76" xfId="0" applyFont="1" applyBorder="1" applyAlignment="1" applyProtection="1">
      <protection hidden="1"/>
    </xf>
    <xf numFmtId="0" fontId="36" fillId="0" borderId="0" xfId="2" applyFont="1" applyBorder="1" applyAlignment="1" applyProtection="1">
      <protection hidden="1"/>
    </xf>
    <xf numFmtId="0" fontId="26" fillId="0" borderId="15" xfId="2" applyFont="1" applyBorder="1" applyAlignment="1" applyProtection="1">
      <alignment horizontal="right"/>
      <protection hidden="1"/>
    </xf>
    <xf numFmtId="0" fontId="26" fillId="0" borderId="23" xfId="2" applyFont="1" applyBorder="1" applyAlignment="1" applyProtection="1">
      <alignment horizontal="right"/>
      <protection hidden="1"/>
    </xf>
    <xf numFmtId="0" fontId="24" fillId="0" borderId="0" xfId="0" applyFont="1" applyAlignment="1">
      <alignment vertical="center"/>
    </xf>
    <xf numFmtId="0" fontId="25" fillId="0" borderId="11"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36" fillId="0" borderId="2" xfId="2" applyFont="1" applyBorder="1" applyAlignment="1" applyProtection="1">
      <alignment horizontal="center"/>
      <protection hidden="1"/>
    </xf>
    <xf numFmtId="0" fontId="36" fillId="0" borderId="1" xfId="2" applyFont="1" applyBorder="1" applyAlignment="1" applyProtection="1">
      <alignment horizontal="center"/>
      <protection hidden="1"/>
    </xf>
    <xf numFmtId="0" fontId="54" fillId="0" borderId="1" xfId="0" applyFont="1" applyBorder="1" applyAlignment="1">
      <alignment horizontal="center"/>
    </xf>
    <xf numFmtId="0" fontId="55" fillId="8" borderId="4" xfId="11" applyFont="1" applyFill="1" applyBorder="1" applyAlignment="1">
      <alignment horizontal="center" vertical="center" wrapText="1"/>
    </xf>
    <xf numFmtId="0" fontId="55" fillId="10" borderId="77" xfId="0" applyFont="1" applyFill="1" applyBorder="1" applyAlignment="1">
      <alignment horizontal="center"/>
    </xf>
    <xf numFmtId="0" fontId="55" fillId="10" borderId="8" xfId="0" applyFont="1" applyFill="1" applyBorder="1" applyAlignment="1">
      <alignment horizontal="center"/>
    </xf>
    <xf numFmtId="0" fontId="55" fillId="0" borderId="4" xfId="0" applyFont="1" applyBorder="1" applyAlignment="1">
      <alignment horizontal="center"/>
    </xf>
    <xf numFmtId="0" fontId="55" fillId="10" borderId="0" xfId="0" applyFont="1" applyFill="1" applyAlignment="1">
      <alignment horizontal="center"/>
    </xf>
    <xf numFmtId="0" fontId="55" fillId="10" borderId="12" xfId="0" applyFont="1" applyFill="1" applyBorder="1" applyAlignment="1">
      <alignment horizontal="center"/>
    </xf>
    <xf numFmtId="0" fontId="55" fillId="10" borderId="76" xfId="0" applyFont="1" applyFill="1" applyBorder="1" applyAlignment="1">
      <alignment horizontal="center"/>
    </xf>
    <xf numFmtId="0" fontId="55" fillId="10" borderId="10" xfId="0" applyFont="1" applyFill="1" applyBorder="1" applyAlignment="1">
      <alignment horizontal="center"/>
    </xf>
    <xf numFmtId="0" fontId="55" fillId="8" borderId="1" xfId="11" applyFont="1" applyFill="1" applyBorder="1" applyAlignment="1">
      <alignment horizontal="center" vertical="center" wrapText="1"/>
    </xf>
    <xf numFmtId="0" fontId="55" fillId="8" borderId="3" xfId="11" applyFont="1" applyFill="1" applyBorder="1" applyAlignment="1">
      <alignment horizontal="center" vertical="center" wrapText="1"/>
    </xf>
    <xf numFmtId="0" fontId="55" fillId="10" borderId="0" xfId="11" applyFont="1" applyFill="1" applyAlignment="1">
      <alignment horizontal="center" vertical="center" wrapText="1"/>
    </xf>
    <xf numFmtId="0" fontId="55" fillId="10" borderId="0" xfId="11" applyFont="1" applyFill="1" applyAlignment="1">
      <alignment horizontal="center" vertical="center"/>
    </xf>
    <xf numFmtId="0" fontId="55" fillId="10" borderId="76" xfId="11" applyFont="1" applyFill="1" applyBorder="1" applyAlignment="1">
      <alignment horizontal="center" vertical="center"/>
    </xf>
    <xf numFmtId="0" fontId="55" fillId="10" borderId="76" xfId="11" applyFont="1" applyFill="1" applyBorder="1" applyAlignment="1">
      <alignment horizontal="center" vertical="center" wrapText="1"/>
    </xf>
    <xf numFmtId="0" fontId="55" fillId="10" borderId="8" xfId="11" applyFont="1" applyFill="1" applyBorder="1" applyAlignment="1">
      <alignment horizontal="center" vertical="center"/>
    </xf>
    <xf numFmtId="0" fontId="55" fillId="10" borderId="12" xfId="11" applyFont="1" applyFill="1" applyBorder="1" applyAlignment="1">
      <alignment horizontal="center" vertical="center" wrapText="1"/>
    </xf>
    <xf numFmtId="0" fontId="55" fillId="10" borderId="12" xfId="11" applyFont="1" applyFill="1" applyBorder="1" applyAlignment="1">
      <alignment horizontal="center" vertical="center"/>
    </xf>
    <xf numFmtId="0" fontId="55" fillId="10" borderId="10" xfId="11" applyFont="1" applyFill="1" applyBorder="1" applyAlignment="1">
      <alignment horizontal="center" vertical="center" wrapText="1"/>
    </xf>
    <xf numFmtId="0" fontId="55" fillId="0" borderId="1" xfId="11" applyFont="1" applyFill="1" applyBorder="1" applyAlignment="1">
      <alignment horizontal="center" vertical="center" wrapText="1"/>
    </xf>
    <xf numFmtId="2" fontId="0" fillId="0" borderId="1" xfId="0" applyNumberFormat="1" applyBorder="1"/>
    <xf numFmtId="0" fontId="50" fillId="0" borderId="9" xfId="0" applyFont="1" applyBorder="1" applyAlignment="1" applyProtection="1">
      <protection hidden="1"/>
    </xf>
    <xf numFmtId="0" fontId="36" fillId="0" borderId="0" xfId="0" applyFont="1" applyBorder="1" applyAlignment="1" applyProtection="1">
      <alignment horizontal="right"/>
      <protection hidden="1"/>
    </xf>
    <xf numFmtId="0" fontId="25" fillId="0" borderId="13" xfId="2" applyFont="1" applyBorder="1" applyProtection="1">
      <protection hidden="1"/>
    </xf>
    <xf numFmtId="0" fontId="25" fillId="0" borderId="13" xfId="2" applyFont="1" applyBorder="1" applyAlignment="1" applyProtection="1">
      <alignment horizontal="center"/>
      <protection hidden="1"/>
    </xf>
    <xf numFmtId="0" fontId="50" fillId="0" borderId="6" xfId="0" applyFont="1" applyBorder="1" applyAlignment="1" applyProtection="1">
      <alignment horizontal="center"/>
      <protection hidden="1"/>
    </xf>
    <xf numFmtId="0" fontId="37" fillId="0" borderId="13" xfId="0" applyFont="1" applyBorder="1" applyAlignment="1" applyProtection="1">
      <protection hidden="1"/>
    </xf>
    <xf numFmtId="0" fontId="36" fillId="0" borderId="13" xfId="2" applyFont="1" applyBorder="1" applyAlignment="1" applyProtection="1">
      <protection hidden="1"/>
    </xf>
    <xf numFmtId="0" fontId="56" fillId="0" borderId="6" xfId="0" applyFont="1" applyBorder="1" applyAlignment="1" applyProtection="1">
      <alignment horizontal="right"/>
      <protection hidden="1"/>
    </xf>
    <xf numFmtId="0" fontId="47" fillId="0" borderId="1" xfId="0" applyFont="1" applyBorder="1" applyAlignment="1" applyProtection="1">
      <alignment horizontal="center"/>
    </xf>
    <xf numFmtId="14" fontId="47" fillId="0" borderId="1" xfId="0" applyNumberFormat="1" applyFont="1" applyBorder="1" applyAlignment="1" applyProtection="1">
      <alignment horizontal="center"/>
    </xf>
    <xf numFmtId="0" fontId="2" fillId="0" borderId="0" xfId="0" applyFont="1" applyProtection="1"/>
    <xf numFmtId="0" fontId="46" fillId="0" borderId="1" xfId="0" applyFont="1" applyBorder="1" applyAlignment="1" applyProtection="1">
      <alignment horizontal="center"/>
    </xf>
    <xf numFmtId="14" fontId="46" fillId="0" borderId="1" xfId="0" applyNumberFormat="1" applyFont="1" applyBorder="1" applyAlignment="1" applyProtection="1">
      <alignment horizontal="center"/>
    </xf>
    <xf numFmtId="167" fontId="46" fillId="0" borderId="1" xfId="0" applyNumberFormat="1" applyFont="1" applyBorder="1" applyAlignment="1" applyProtection="1">
      <alignment horizontal="center"/>
    </xf>
    <xf numFmtId="0" fontId="0" fillId="0" borderId="0" xfId="0" applyProtection="1"/>
    <xf numFmtId="0" fontId="0" fillId="0" borderId="0" xfId="0" applyAlignment="1" applyProtection="1">
      <alignment horizontal="center"/>
    </xf>
    <xf numFmtId="16" fontId="36" fillId="0" borderId="13" xfId="0" quotePrefix="1" applyNumberFormat="1" applyFont="1" applyBorder="1" applyAlignment="1" applyProtection="1">
      <alignment horizontal="center"/>
      <protection hidden="1"/>
    </xf>
    <xf numFmtId="0" fontId="36" fillId="0" borderId="13" xfId="2" applyFont="1" applyBorder="1" applyAlignment="1" applyProtection="1">
      <alignment horizontal="center"/>
      <protection hidden="1"/>
    </xf>
    <xf numFmtId="0" fontId="38" fillId="0" borderId="7" xfId="0" applyFont="1" applyBorder="1" applyAlignment="1" applyProtection="1">
      <alignment horizontal="center" vertical="top" wrapText="1"/>
      <protection hidden="1"/>
    </xf>
    <xf numFmtId="0" fontId="38" fillId="0" borderId="77" xfId="0" applyFont="1" applyBorder="1" applyAlignment="1" applyProtection="1">
      <alignment horizontal="center" vertical="top" wrapText="1"/>
      <protection hidden="1"/>
    </xf>
    <xf numFmtId="0" fontId="38" fillId="0" borderId="8" xfId="0" applyFont="1" applyBorder="1" applyAlignment="1" applyProtection="1">
      <alignment horizontal="center" vertical="top" wrapText="1"/>
      <protection hidden="1"/>
    </xf>
    <xf numFmtId="0" fontId="38" fillId="0" borderId="11" xfId="0" applyFont="1" applyBorder="1" applyAlignment="1" applyProtection="1">
      <alignment horizontal="center" vertical="top" wrapText="1"/>
      <protection hidden="1"/>
    </xf>
    <xf numFmtId="0" fontId="38" fillId="0" borderId="0" xfId="0" applyFont="1" applyBorder="1" applyAlignment="1" applyProtection="1">
      <alignment horizontal="center" vertical="top" wrapText="1"/>
      <protection hidden="1"/>
    </xf>
    <xf numFmtId="0" fontId="38" fillId="0" borderId="12" xfId="0" applyFont="1" applyBorder="1" applyAlignment="1" applyProtection="1">
      <alignment horizontal="center" vertical="top" wrapText="1"/>
      <protection hidden="1"/>
    </xf>
    <xf numFmtId="0" fontId="38" fillId="0" borderId="9" xfId="0" applyFont="1" applyBorder="1" applyAlignment="1" applyProtection="1">
      <alignment horizontal="center" vertical="top" wrapText="1"/>
      <protection hidden="1"/>
    </xf>
    <xf numFmtId="0" fontId="38" fillId="0" borderId="76" xfId="0" applyFont="1" applyBorder="1" applyAlignment="1" applyProtection="1">
      <alignment horizontal="center" vertical="top" wrapText="1"/>
      <protection hidden="1"/>
    </xf>
    <xf numFmtId="0" fontId="38" fillId="0" borderId="10" xfId="0" applyFont="1" applyBorder="1" applyAlignment="1" applyProtection="1">
      <alignment horizontal="center" vertical="top" wrapText="1"/>
      <protection hidden="1"/>
    </xf>
    <xf numFmtId="0" fontId="26" fillId="0" borderId="46" xfId="2" applyFont="1" applyBorder="1" applyProtection="1">
      <protection hidden="1"/>
    </xf>
    <xf numFmtId="0" fontId="26" fillId="0" borderId="47" xfId="2" applyFont="1" applyBorder="1" applyProtection="1">
      <protection hidden="1"/>
    </xf>
    <xf numFmtId="0" fontId="25" fillId="0" borderId="49" xfId="2" applyFont="1" applyBorder="1" applyAlignment="1" applyProtection="1">
      <alignment horizontal="center"/>
      <protection hidden="1"/>
    </xf>
    <xf numFmtId="0" fontId="25" fillId="0" borderId="51" xfId="2" applyFont="1" applyBorder="1" applyAlignment="1" applyProtection="1">
      <alignment horizontal="center"/>
      <protection hidden="1"/>
    </xf>
    <xf numFmtId="0" fontId="26" fillId="0" borderId="34" xfId="2" applyFont="1" applyBorder="1" applyAlignment="1" applyProtection="1">
      <alignment horizontal="center"/>
      <protection hidden="1"/>
    </xf>
    <xf numFmtId="0" fontId="26" fillId="0" borderId="35" xfId="2" applyFont="1" applyBorder="1" applyAlignment="1" applyProtection="1">
      <alignment horizontal="center"/>
      <protection hidden="1"/>
    </xf>
    <xf numFmtId="0" fontId="25" fillId="0" borderId="33" xfId="2" applyFont="1" applyBorder="1" applyProtection="1">
      <protection hidden="1"/>
    </xf>
    <xf numFmtId="0" fontId="25" fillId="0" borderId="37" xfId="2" applyFont="1" applyBorder="1" applyProtection="1">
      <protection hidden="1"/>
    </xf>
    <xf numFmtId="0" fontId="44" fillId="15" borderId="0" xfId="2" applyFont="1" applyFill="1" applyAlignment="1" applyProtection="1">
      <alignment horizontal="left"/>
      <protection hidden="1"/>
    </xf>
    <xf numFmtId="0" fontId="25" fillId="0" borderId="0" xfId="2" applyFont="1" applyBorder="1" applyAlignment="1" applyProtection="1">
      <alignment horizontal="center"/>
      <protection hidden="1"/>
    </xf>
    <xf numFmtId="0" fontId="25" fillId="0" borderId="0" xfId="2" applyFont="1" applyBorder="1" applyProtection="1">
      <protection hidden="1"/>
    </xf>
    <xf numFmtId="0" fontId="25" fillId="0" borderId="0" xfId="2" applyFont="1" applyBorder="1" applyAlignment="1" applyProtection="1">
      <alignment horizontal="left" vertical="top" wrapText="1"/>
      <protection hidden="1"/>
    </xf>
    <xf numFmtId="0" fontId="26" fillId="0" borderId="27" xfId="2" applyFont="1" applyBorder="1" applyAlignment="1" applyProtection="1">
      <alignment horizontal="right"/>
      <protection hidden="1"/>
    </xf>
    <xf numFmtId="0" fontId="26" fillId="0" borderId="28" xfId="2" applyFont="1" applyBorder="1" applyAlignment="1" applyProtection="1">
      <alignment horizontal="right"/>
      <protection hidden="1"/>
    </xf>
    <xf numFmtId="0" fontId="26" fillId="0" borderId="29" xfId="2" applyFont="1" applyBorder="1" applyAlignment="1" applyProtection="1">
      <alignment horizontal="right"/>
      <protection hidden="1"/>
    </xf>
    <xf numFmtId="0" fontId="26" fillId="0" borderId="4" xfId="2" applyFont="1" applyBorder="1" applyAlignment="1" applyProtection="1">
      <alignment horizontal="right"/>
      <protection hidden="1"/>
    </xf>
    <xf numFmtId="0" fontId="51" fillId="0" borderId="0" xfId="0" applyFont="1" applyFill="1" applyAlignment="1">
      <alignment horizontal="center" wrapText="1"/>
    </xf>
    <xf numFmtId="0" fontId="51" fillId="0" borderId="0" xfId="0" applyFont="1" applyFill="1" applyAlignment="1">
      <alignment horizontal="center"/>
    </xf>
    <xf numFmtId="0" fontId="26" fillId="0" borderId="33" xfId="2" applyFont="1" applyBorder="1" applyAlignment="1" applyProtection="1">
      <alignment horizontal="center"/>
      <protection hidden="1"/>
    </xf>
    <xf numFmtId="0" fontId="26" fillId="0" borderId="37" xfId="2" applyFont="1" applyBorder="1" applyAlignment="1" applyProtection="1">
      <alignment horizontal="center"/>
      <protection hidden="1"/>
    </xf>
    <xf numFmtId="0" fontId="26" fillId="0" borderId="25" xfId="2" applyFont="1" applyBorder="1" applyAlignment="1" applyProtection="1">
      <alignment horizontal="center"/>
      <protection hidden="1"/>
    </xf>
    <xf numFmtId="0" fontId="13" fillId="16" borderId="14" xfId="1" applyFont="1" applyFill="1" applyBorder="1" applyAlignment="1" applyProtection="1">
      <alignment horizontal="center"/>
      <protection locked="0" hidden="1"/>
    </xf>
    <xf numFmtId="0" fontId="13" fillId="16" borderId="23" xfId="1" applyFont="1" applyFill="1" applyBorder="1" applyAlignment="1" applyProtection="1">
      <alignment horizontal="center"/>
      <protection locked="0" hidden="1"/>
    </xf>
    <xf numFmtId="0" fontId="13" fillId="16" borderId="27" xfId="1" applyFont="1" applyFill="1" applyBorder="1" applyAlignment="1" applyProtection="1">
      <alignment horizontal="center"/>
      <protection locked="0" hidden="1"/>
    </xf>
    <xf numFmtId="0" fontId="13" fillId="16" borderId="78" xfId="1" applyFont="1" applyFill="1" applyBorder="1" applyAlignment="1" applyProtection="1">
      <alignment horizontal="center"/>
      <protection locked="0" hidden="1"/>
    </xf>
    <xf numFmtId="0" fontId="13" fillId="16" borderId="31" xfId="1" applyFont="1" applyFill="1" applyBorder="1" applyAlignment="1" applyProtection="1">
      <alignment horizontal="center"/>
      <protection locked="0" hidden="1"/>
    </xf>
    <xf numFmtId="0" fontId="13" fillId="16" borderId="72" xfId="1" applyFont="1" applyFill="1" applyBorder="1" applyAlignment="1" applyProtection="1">
      <alignment horizontal="center"/>
      <protection locked="0" hidden="1"/>
    </xf>
    <xf numFmtId="3" fontId="13" fillId="16" borderId="33" xfId="1" applyNumberFormat="1" applyFont="1" applyFill="1" applyBorder="1" applyAlignment="1" applyProtection="1">
      <alignment horizontal="center"/>
      <protection locked="0" hidden="1"/>
    </xf>
    <xf numFmtId="3" fontId="13" fillId="16" borderId="25" xfId="1" applyNumberFormat="1" applyFont="1" applyFill="1" applyBorder="1" applyAlignment="1" applyProtection="1">
      <alignment horizontal="center"/>
      <protection locked="0" hidden="1"/>
    </xf>
    <xf numFmtId="0" fontId="45" fillId="15" borderId="0" xfId="2" applyFont="1" applyFill="1" applyAlignment="1" applyProtection="1">
      <alignment horizontal="center"/>
      <protection hidden="1"/>
    </xf>
    <xf numFmtId="0" fontId="26" fillId="0" borderId="34" xfId="2" applyFont="1" applyBorder="1" applyAlignment="1" applyProtection="1">
      <alignment horizontal="center" vertical="center"/>
      <protection hidden="1"/>
    </xf>
    <xf numFmtId="0" fontId="26" fillId="0" borderId="36" xfId="2" applyFont="1" applyBorder="1" applyAlignment="1" applyProtection="1">
      <alignment horizontal="center" vertical="center"/>
      <protection hidden="1"/>
    </xf>
    <xf numFmtId="0" fontId="26" fillId="0" borderId="74" xfId="2" applyFont="1" applyBorder="1" applyAlignment="1" applyProtection="1">
      <alignment horizontal="center" vertical="center"/>
      <protection hidden="1"/>
    </xf>
    <xf numFmtId="0" fontId="26" fillId="0" borderId="35" xfId="2" applyFont="1" applyBorder="1" applyAlignment="1" applyProtection="1">
      <alignment horizontal="center" vertical="center"/>
      <protection hidden="1"/>
    </xf>
    <xf numFmtId="0" fontId="26" fillId="0" borderId="44" xfId="2" applyFont="1" applyBorder="1" applyProtection="1">
      <protection hidden="1"/>
    </xf>
    <xf numFmtId="0" fontId="26" fillId="0" borderId="45" xfId="2" applyFont="1" applyBorder="1" applyProtection="1">
      <protection hidden="1"/>
    </xf>
    <xf numFmtId="1" fontId="13" fillId="16" borderId="14" xfId="1" applyNumberFormat="1" applyFont="1" applyFill="1" applyBorder="1" applyAlignment="1" applyProtection="1">
      <alignment horizontal="right"/>
      <protection locked="0" hidden="1"/>
    </xf>
    <xf numFmtId="1" fontId="13" fillId="16" borderId="19" xfId="1" applyNumberFormat="1" applyFont="1" applyFill="1" applyBorder="1" applyAlignment="1" applyProtection="1">
      <alignment horizontal="right"/>
      <protection locked="0" hidden="1"/>
    </xf>
    <xf numFmtId="1" fontId="13" fillId="16" borderId="23" xfId="1" applyNumberFormat="1" applyFont="1" applyFill="1" applyBorder="1" applyAlignment="1" applyProtection="1">
      <alignment horizontal="right"/>
      <protection locked="0" hidden="1"/>
    </xf>
    <xf numFmtId="0" fontId="25" fillId="0" borderId="16" xfId="2" applyFont="1" applyFill="1" applyBorder="1" applyAlignment="1" applyProtection="1">
      <alignment horizontal="right"/>
      <protection hidden="1"/>
    </xf>
    <xf numFmtId="0" fontId="25" fillId="0" borderId="2" xfId="2" applyFont="1" applyFill="1" applyBorder="1" applyAlignment="1" applyProtection="1">
      <alignment horizontal="right"/>
      <protection hidden="1"/>
    </xf>
    <xf numFmtId="0" fontId="25" fillId="0" borderId="22" xfId="2" applyFont="1" applyFill="1" applyBorder="1" applyAlignment="1" applyProtection="1">
      <alignment horizontal="right"/>
      <protection hidden="1"/>
    </xf>
    <xf numFmtId="0" fontId="25" fillId="0" borderId="16" xfId="2" applyFont="1" applyBorder="1" applyAlignment="1" applyProtection="1">
      <alignment horizontal="right"/>
      <protection hidden="1"/>
    </xf>
    <xf numFmtId="0" fontId="25" fillId="0" borderId="2" xfId="2" applyFont="1" applyBorder="1" applyAlignment="1" applyProtection="1">
      <alignment horizontal="right"/>
      <protection hidden="1"/>
    </xf>
    <xf numFmtId="0" fontId="25" fillId="0" borderId="22" xfId="2" applyFont="1" applyBorder="1" applyAlignment="1" applyProtection="1">
      <alignment horizontal="right"/>
      <protection hidden="1"/>
    </xf>
    <xf numFmtId="0" fontId="25" fillId="0" borderId="17" xfId="2" applyFont="1" applyBorder="1" applyAlignment="1" applyProtection="1">
      <alignment horizontal="right"/>
      <protection hidden="1"/>
    </xf>
    <xf numFmtId="0" fontId="25" fillId="0" borderId="20" xfId="2" applyFont="1" applyBorder="1" applyAlignment="1" applyProtection="1">
      <alignment horizontal="right"/>
      <protection hidden="1"/>
    </xf>
    <xf numFmtId="0" fontId="25" fillId="0" borderId="21" xfId="2" applyFont="1" applyBorder="1" applyAlignment="1" applyProtection="1">
      <alignment horizontal="right"/>
      <protection hidden="1"/>
    </xf>
    <xf numFmtId="4" fontId="25" fillId="0" borderId="16" xfId="2" applyNumberFormat="1" applyFont="1" applyBorder="1" applyAlignment="1" applyProtection="1">
      <alignment horizontal="right"/>
      <protection hidden="1"/>
    </xf>
    <xf numFmtId="4" fontId="25" fillId="0" borderId="2" xfId="2" applyNumberFormat="1" applyFont="1" applyBorder="1" applyAlignment="1" applyProtection="1">
      <alignment horizontal="right"/>
      <protection hidden="1"/>
    </xf>
    <xf numFmtId="4" fontId="25" fillId="0" borderId="22" xfId="2" applyNumberFormat="1" applyFont="1" applyBorder="1" applyAlignment="1" applyProtection="1">
      <alignment horizontal="right"/>
      <protection hidden="1"/>
    </xf>
    <xf numFmtId="0" fontId="50" fillId="0" borderId="9" xfId="0" applyFont="1" applyBorder="1" applyAlignment="1" applyProtection="1">
      <alignment horizontal="center"/>
      <protection hidden="1"/>
    </xf>
    <xf numFmtId="0" fontId="50" fillId="0" borderId="76" xfId="0" applyFont="1" applyBorder="1" applyAlignment="1" applyProtection="1">
      <alignment horizontal="center"/>
      <protection hidden="1"/>
    </xf>
    <xf numFmtId="0" fontId="50" fillId="0" borderId="10" xfId="0" applyFont="1" applyBorder="1" applyAlignment="1" applyProtection="1">
      <alignment horizontal="center"/>
      <protection hidden="1"/>
    </xf>
    <xf numFmtId="0" fontId="36" fillId="0" borderId="1" xfId="2" applyFont="1" applyBorder="1" applyAlignment="1" applyProtection="1">
      <alignment horizontal="center"/>
      <protection hidden="1"/>
    </xf>
    <xf numFmtId="0" fontId="25" fillId="0" borderId="52" xfId="2" applyFont="1" applyBorder="1" applyAlignment="1" applyProtection="1">
      <alignment vertical="top" wrapText="1"/>
      <protection hidden="1"/>
    </xf>
    <xf numFmtId="0" fontId="25" fillId="0" borderId="53" xfId="2" applyFont="1" applyBorder="1" applyAlignment="1" applyProtection="1">
      <alignment vertical="top" wrapText="1"/>
      <protection hidden="1"/>
    </xf>
    <xf numFmtId="0" fontId="25" fillId="0" borderId="54" xfId="2" applyFont="1" applyBorder="1" applyAlignment="1" applyProtection="1">
      <alignment vertical="top" wrapText="1"/>
      <protection hidden="1"/>
    </xf>
    <xf numFmtId="0" fontId="25" fillId="0" borderId="55" xfId="2" applyFont="1" applyBorder="1" applyAlignment="1" applyProtection="1">
      <alignment vertical="top" wrapText="1"/>
      <protection hidden="1"/>
    </xf>
    <xf numFmtId="0" fontId="25" fillId="0" borderId="56" xfId="2" applyFont="1" applyBorder="1" applyAlignment="1" applyProtection="1">
      <alignment vertical="top" wrapText="1"/>
      <protection hidden="1"/>
    </xf>
    <xf numFmtId="0" fontId="25" fillId="0" borderId="26" xfId="2" applyFont="1" applyBorder="1" applyAlignment="1" applyProtection="1">
      <alignment vertical="top" wrapText="1"/>
      <protection hidden="1"/>
    </xf>
    <xf numFmtId="0" fontId="49" fillId="0" borderId="11" xfId="0" applyFont="1" applyBorder="1" applyAlignment="1" applyProtection="1">
      <alignment horizontal="center"/>
      <protection hidden="1"/>
    </xf>
    <xf numFmtId="0" fontId="49" fillId="0" borderId="0" xfId="0" applyFont="1" applyBorder="1" applyAlignment="1" applyProtection="1">
      <alignment horizontal="center"/>
      <protection hidden="1"/>
    </xf>
    <xf numFmtId="0" fontId="56" fillId="0" borderId="0" xfId="0" applyFont="1" applyBorder="1" applyAlignment="1" applyProtection="1">
      <alignment horizontal="center"/>
      <protection hidden="1"/>
    </xf>
    <xf numFmtId="0" fontId="36" fillId="0" borderId="2" xfId="2" applyFont="1" applyBorder="1" applyAlignment="1" applyProtection="1">
      <alignment horizontal="center"/>
      <protection hidden="1"/>
    </xf>
    <xf numFmtId="0" fontId="36" fillId="0" borderId="3" xfId="2" applyFont="1" applyBorder="1" applyAlignment="1" applyProtection="1">
      <alignment horizontal="center"/>
      <protection hidden="1"/>
    </xf>
    <xf numFmtId="0" fontId="13" fillId="16" borderId="17" xfId="1" applyFont="1" applyFill="1" applyBorder="1" applyAlignment="1" applyProtection="1">
      <alignment horizontal="center"/>
      <protection locked="0" hidden="1"/>
    </xf>
    <xf numFmtId="0" fontId="13" fillId="16" borderId="21" xfId="1" applyFont="1" applyFill="1" applyBorder="1" applyAlignment="1" applyProtection="1">
      <alignment horizontal="center"/>
      <protection locked="0" hidden="1"/>
    </xf>
    <xf numFmtId="0" fontId="26" fillId="0" borderId="31" xfId="2" applyFont="1" applyBorder="1" applyAlignment="1" applyProtection="1">
      <alignment horizontal="right"/>
      <protection hidden="1"/>
    </xf>
    <xf numFmtId="0" fontId="26" fillId="0" borderId="32" xfId="2" applyFont="1" applyBorder="1" applyAlignment="1" applyProtection="1">
      <alignment horizontal="right"/>
      <protection hidden="1"/>
    </xf>
    <xf numFmtId="0" fontId="25" fillId="0" borderId="25" xfId="2" applyFont="1" applyBorder="1" applyProtection="1">
      <protection hidden="1"/>
    </xf>
    <xf numFmtId="3" fontId="55" fillId="0" borderId="1" xfId="0" applyNumberFormat="1" applyFont="1" applyBorder="1" applyAlignment="1">
      <alignment horizontal="center" vertical="center"/>
    </xf>
    <xf numFmtId="0" fontId="55" fillId="0" borderId="1" xfId="0" applyFont="1" applyBorder="1" applyAlignment="1">
      <alignment horizontal="center" vertical="center"/>
    </xf>
    <xf numFmtId="0" fontId="52" fillId="17" borderId="0" xfId="0" applyFont="1" applyFill="1" applyAlignment="1">
      <alignment horizontal="center"/>
    </xf>
    <xf numFmtId="0" fontId="53" fillId="18" borderId="1" xfId="10" applyFont="1" applyFill="1" applyBorder="1" applyAlignment="1">
      <alignment horizontal="center" vertical="center"/>
    </xf>
    <xf numFmtId="0" fontId="24" fillId="7" borderId="1" xfId="0" applyFont="1" applyFill="1" applyBorder="1" applyAlignment="1">
      <alignment horizontal="center" vertical="center" wrapText="1"/>
    </xf>
    <xf numFmtId="0" fontId="30" fillId="0" borderId="2" xfId="9" applyFont="1" applyFill="1" applyBorder="1" applyAlignment="1">
      <alignment horizontal="center" vertical="center" wrapText="1"/>
    </xf>
    <xf numFmtId="0" fontId="30" fillId="0" borderId="3" xfId="9" applyFont="1" applyFill="1" applyBorder="1" applyAlignment="1">
      <alignment horizontal="center" vertical="center" wrapText="1"/>
    </xf>
    <xf numFmtId="0" fontId="30" fillId="0" borderId="4" xfId="9" applyFont="1" applyFill="1" applyBorder="1" applyAlignment="1">
      <alignment horizontal="center" vertical="center" wrapText="1"/>
    </xf>
    <xf numFmtId="0" fontId="30" fillId="0" borderId="1" xfId="10" applyFont="1" applyFill="1" applyBorder="1" applyAlignment="1">
      <alignment horizontal="center" vertical="center" wrapText="1"/>
    </xf>
    <xf numFmtId="0" fontId="29" fillId="0" borderId="1" xfId="9" applyFont="1" applyFill="1" applyBorder="1" applyAlignment="1">
      <alignment horizontal="center" vertical="center" wrapText="1"/>
    </xf>
    <xf numFmtId="0" fontId="29" fillId="6" borderId="1" xfId="10" applyFont="1" applyFill="1" applyBorder="1" applyAlignment="1">
      <alignment horizontal="center" vertical="center" wrapText="1"/>
    </xf>
    <xf numFmtId="0" fontId="29" fillId="0" borderId="1" xfId="10" applyFont="1" applyFill="1" applyBorder="1" applyAlignment="1">
      <alignment horizontal="center" vertical="center" wrapText="1"/>
    </xf>
    <xf numFmtId="3" fontId="13" fillId="0" borderId="1" xfId="10" applyNumberFormat="1" applyFont="1" applyFill="1" applyBorder="1" applyAlignment="1">
      <alignment horizontal="center" vertical="center" wrapText="1"/>
    </xf>
    <xf numFmtId="0" fontId="13" fillId="0" borderId="1" xfId="0" applyFont="1" applyFill="1" applyBorder="1" applyAlignment="1">
      <alignment wrapText="1"/>
    </xf>
    <xf numFmtId="0" fontId="29" fillId="0" borderId="1" xfId="1" applyFont="1" applyFill="1" applyBorder="1" applyAlignment="1">
      <alignment horizontal="center" vertical="center" wrapText="1"/>
    </xf>
    <xf numFmtId="0" fontId="29" fillId="0" borderId="5" xfId="1" applyFont="1" applyFill="1" applyBorder="1" applyAlignment="1">
      <alignment horizontal="center" vertical="center" wrapText="1"/>
    </xf>
    <xf numFmtId="0" fontId="29" fillId="0" borderId="1" xfId="1" applyFont="1" applyFill="1" applyBorder="1" applyAlignment="1">
      <alignment horizontal="center"/>
    </xf>
    <xf numFmtId="4" fontId="29" fillId="0" borderId="2" xfId="1" applyNumberFormat="1" applyFont="1" applyFill="1" applyBorder="1" applyAlignment="1">
      <alignment horizontal="center" vertical="center"/>
    </xf>
    <xf numFmtId="4" fontId="29" fillId="0" borderId="3" xfId="1" applyNumberFormat="1" applyFont="1" applyFill="1" applyBorder="1" applyAlignment="1">
      <alignment horizontal="center" vertical="center"/>
    </xf>
    <xf numFmtId="4" fontId="29" fillId="0" borderId="4" xfId="1" applyNumberFormat="1" applyFont="1" applyFill="1" applyBorder="1" applyAlignment="1">
      <alignment horizontal="center" vertical="center"/>
    </xf>
    <xf numFmtId="0" fontId="29" fillId="0" borderId="1" xfId="1" applyFont="1" applyFill="1" applyBorder="1" applyAlignment="1">
      <alignment horizontal="center" vertical="center"/>
    </xf>
    <xf numFmtId="0" fontId="29" fillId="0" borderId="5" xfId="1" applyFont="1" applyFill="1" applyBorder="1" applyAlignment="1">
      <alignment horizontal="center" vertical="center"/>
    </xf>
    <xf numFmtId="0" fontId="13" fillId="0" borderId="1" xfId="1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center" vertical="center" wrapText="1"/>
    </xf>
    <xf numFmtId="0" fontId="29" fillId="0" borderId="13" xfId="1" applyFont="1" applyFill="1" applyBorder="1" applyAlignment="1">
      <alignment horizontal="center" vertical="center" wrapText="1"/>
    </xf>
    <xf numFmtId="0" fontId="29" fillId="0" borderId="57" xfId="1" applyFont="1" applyFill="1" applyBorder="1" applyAlignment="1">
      <alignment horizontal="center" vertical="center" wrapText="1"/>
    </xf>
    <xf numFmtId="0" fontId="29" fillId="0" borderId="2" xfId="1" applyFont="1" applyFill="1" applyBorder="1" applyAlignment="1">
      <alignment horizontal="center"/>
    </xf>
    <xf numFmtId="0" fontId="29" fillId="0" borderId="3" xfId="1" applyFont="1" applyFill="1" applyBorder="1" applyAlignment="1">
      <alignment horizontal="center"/>
    </xf>
    <xf numFmtId="0" fontId="29" fillId="0" borderId="4" xfId="1" applyFont="1" applyFill="1" applyBorder="1" applyAlignment="1">
      <alignment horizontal="center"/>
    </xf>
    <xf numFmtId="0" fontId="29" fillId="0" borderId="7" xfId="1" applyFont="1" applyFill="1" applyBorder="1" applyAlignment="1">
      <alignment horizontal="center" vertical="center" wrapText="1"/>
    </xf>
    <xf numFmtId="0" fontId="29" fillId="0" borderId="8" xfId="1" applyFont="1" applyFill="1" applyBorder="1" applyAlignment="1">
      <alignment horizontal="center" vertical="center" wrapText="1"/>
    </xf>
    <xf numFmtId="0" fontId="29" fillId="0" borderId="58" xfId="1" applyFont="1" applyFill="1" applyBorder="1" applyAlignment="1">
      <alignment horizontal="center" vertical="center" wrapText="1"/>
    </xf>
    <xf numFmtId="0" fontId="29" fillId="0" borderId="59" xfId="1" applyFont="1" applyFill="1" applyBorder="1" applyAlignment="1">
      <alignment horizontal="center" vertical="center" wrapText="1"/>
    </xf>
    <xf numFmtId="0" fontId="13" fillId="0" borderId="5" xfId="10" applyFont="1" applyFill="1" applyBorder="1" applyAlignment="1">
      <alignment horizontal="center" vertical="center" wrapText="1"/>
    </xf>
    <xf numFmtId="0" fontId="13" fillId="0" borderId="13" xfId="10" applyFont="1" applyFill="1" applyBorder="1" applyAlignment="1">
      <alignment horizontal="center" vertical="center" wrapText="1"/>
    </xf>
    <xf numFmtId="0" fontId="13" fillId="0" borderId="6" xfId="1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4" fillId="0" borderId="1" xfId="2" applyFont="1" applyFill="1" applyBorder="1" applyAlignment="1">
      <alignment horizontal="center" vertical="center" wrapText="1"/>
    </xf>
    <xf numFmtId="0" fontId="4" fillId="0" borderId="2" xfId="2" applyFont="1" applyFill="1" applyBorder="1" applyAlignment="1">
      <alignment horizontal="center"/>
    </xf>
    <xf numFmtId="0" fontId="4" fillId="0" borderId="3" xfId="2" applyFont="1" applyFill="1" applyBorder="1" applyAlignment="1">
      <alignment horizontal="center"/>
    </xf>
    <xf numFmtId="0" fontId="4" fillId="0" borderId="4" xfId="2" applyFont="1" applyFill="1" applyBorder="1" applyAlignment="1">
      <alignment horizontal="center"/>
    </xf>
    <xf numFmtId="4" fontId="4" fillId="0" borderId="1" xfId="2" applyNumberFormat="1" applyFont="1" applyFill="1" applyBorder="1" applyAlignment="1">
      <alignment horizontal="center" vertical="center"/>
    </xf>
    <xf numFmtId="0" fontId="4" fillId="0" borderId="1" xfId="2" applyFont="1" applyFill="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xf>
    <xf numFmtId="0" fontId="2" fillId="0" borderId="14" xfId="0" applyFont="1" applyBorder="1" applyAlignment="1">
      <alignment horizontal="center" vertical="center"/>
    </xf>
    <xf numFmtId="0" fontId="2" fillId="0" borderId="23" xfId="0" applyFont="1" applyBorder="1" applyAlignment="1">
      <alignment horizontal="center" vertical="center"/>
    </xf>
    <xf numFmtId="0" fontId="23" fillId="0" borderId="34" xfId="0" applyFont="1" applyBorder="1" applyAlignment="1">
      <alignment horizontal="center"/>
    </xf>
    <xf numFmtId="0" fontId="23" fillId="0" borderId="36" xfId="0" applyFont="1" applyBorder="1" applyAlignment="1">
      <alignment horizontal="center"/>
    </xf>
    <xf numFmtId="0" fontId="23" fillId="0" borderId="35" xfId="0" applyFont="1" applyBorder="1" applyAlignment="1">
      <alignment horizontal="center"/>
    </xf>
  </cellXfs>
  <cellStyles count="15">
    <cellStyle name="Comma 2" xfId="5"/>
    <cellStyle name="Comma 3" xfId="8"/>
    <cellStyle name="Hyperlink" xfId="12" builtinId="8"/>
    <cellStyle name="Normal" xfId="0" builtinId="0"/>
    <cellStyle name="Normal 10" xfId="2"/>
    <cellStyle name="Normal 12" xfId="9"/>
    <cellStyle name="Normal 2" xfId="1"/>
    <cellStyle name="Normal 2 2" xfId="10"/>
    <cellStyle name="Normal 3" xfId="6"/>
    <cellStyle name="Normal 5" xfId="14"/>
    <cellStyle name="Percent" xfId="13" builtinId="5"/>
    <cellStyle name="Percent 2" xfId="4"/>
    <cellStyle name="常规 15" xfId="11"/>
    <cellStyle name="常规 2" xfId="7"/>
    <cellStyle name="常规 3" xfId="3"/>
  </cellStyles>
  <dxfs count="42">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theme="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152C7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Defrost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'Defrost Correction'!$D$2</c:f>
              <c:strCache>
                <c:ptCount val="1"/>
                <c:pt idx="0">
                  <c:v>Defrost Correction</c:v>
                </c:pt>
              </c:strCache>
            </c:strRef>
          </c:tx>
          <c:spPr>
            <a:ln w="28575" cap="rnd">
              <a:solidFill>
                <a:schemeClr val="accent2"/>
              </a:solidFill>
              <a:round/>
            </a:ln>
            <a:effectLst/>
          </c:spPr>
          <c:marker>
            <c:symbol val="none"/>
          </c:marker>
          <c:cat>
            <c:numRef>
              <c:f>'Defrost Correction'!$C$3:$C$59</c:f>
              <c:numCache>
                <c:formatCode>General</c:formatCode>
                <c:ptCount val="57"/>
                <c:pt idx="0">
                  <c:v>-13</c:v>
                </c:pt>
                <c:pt idx="1">
                  <c:v>-12</c:v>
                </c:pt>
                <c:pt idx="2">
                  <c:v>-11</c:v>
                </c:pt>
                <c:pt idx="3">
                  <c:v>-10</c:v>
                </c:pt>
                <c:pt idx="4">
                  <c:v>-9</c:v>
                </c:pt>
                <c:pt idx="5">
                  <c:v>-8</c:v>
                </c:pt>
                <c:pt idx="6">
                  <c:v>-7</c:v>
                </c:pt>
                <c:pt idx="7">
                  <c:v>-6</c:v>
                </c:pt>
                <c:pt idx="8">
                  <c:v>-5</c:v>
                </c:pt>
                <c:pt idx="9">
                  <c:v>-4</c:v>
                </c:pt>
                <c:pt idx="10">
                  <c:v>-3</c:v>
                </c:pt>
                <c:pt idx="11">
                  <c:v>-2</c:v>
                </c:pt>
                <c:pt idx="12">
                  <c:v>-1</c:v>
                </c:pt>
                <c:pt idx="13">
                  <c:v>0</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pt idx="53">
                  <c:v>40</c:v>
                </c:pt>
                <c:pt idx="54">
                  <c:v>41</c:v>
                </c:pt>
                <c:pt idx="55">
                  <c:v>42</c:v>
                </c:pt>
                <c:pt idx="56">
                  <c:v>43</c:v>
                </c:pt>
              </c:numCache>
            </c:numRef>
          </c:cat>
          <c:val>
            <c:numRef>
              <c:f>'Defrost Correction'!$D$3:$D$59</c:f>
              <c:numCache>
                <c:formatCode>General</c:formatCode>
                <c:ptCount val="57"/>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formatCode="0.00">
                  <c:v>0.95</c:v>
                </c:pt>
                <c:pt idx="34" formatCode="0.00">
                  <c:v>0.95</c:v>
                </c:pt>
                <c:pt idx="35" formatCode="0.00">
                  <c:v>0.95</c:v>
                </c:pt>
                <c:pt idx="36" formatCode="0.00">
                  <c:v>0.95</c:v>
                </c:pt>
                <c:pt idx="37" formatCode="0.00">
                  <c:v>0.95</c:v>
                </c:pt>
                <c:pt idx="38" formatCode="0.00">
                  <c:v>0.9</c:v>
                </c:pt>
                <c:pt idx="39" formatCode="0.00">
                  <c:v>0.9</c:v>
                </c:pt>
                <c:pt idx="40" formatCode="0.00">
                  <c:v>0.9</c:v>
                </c:pt>
                <c:pt idx="41" formatCode="0.00">
                  <c:v>0.89</c:v>
                </c:pt>
                <c:pt idx="42" formatCode="0.00">
                  <c:v>0.89</c:v>
                </c:pt>
                <c:pt idx="43" formatCode="0.00">
                  <c:v>0.89</c:v>
                </c:pt>
                <c:pt idx="44" formatCode="0.00">
                  <c:v>0.89</c:v>
                </c:pt>
                <c:pt idx="45" formatCode="0.00">
                  <c:v>0.88</c:v>
                </c:pt>
                <c:pt idx="46" formatCode="0.00">
                  <c:v>0.88</c:v>
                </c:pt>
                <c:pt idx="47" formatCode="0.00">
                  <c:v>0.88</c:v>
                </c:pt>
                <c:pt idx="48" formatCode="0.00">
                  <c:v>0.88</c:v>
                </c:pt>
                <c:pt idx="49" formatCode="0.00">
                  <c:v>0.89</c:v>
                </c:pt>
                <c:pt idx="50" formatCode="0.00">
                  <c:v>0.89</c:v>
                </c:pt>
                <c:pt idx="51" formatCode="0.00">
                  <c:v>0.89</c:v>
                </c:pt>
                <c:pt idx="52" formatCode="0.00">
                  <c:v>0.98</c:v>
                </c:pt>
                <c:pt idx="53" formatCode="0.00">
                  <c:v>0.98</c:v>
                </c:pt>
                <c:pt idx="54" formatCode="0.00">
                  <c:v>0.98</c:v>
                </c:pt>
                <c:pt idx="55" formatCode="0.00">
                  <c:v>0.98</c:v>
                </c:pt>
                <c:pt idx="56" formatCode="0.00">
                  <c:v>1</c:v>
                </c:pt>
              </c:numCache>
            </c:numRef>
          </c:val>
          <c:smooth val="0"/>
          <c:extLst xmlns:c16r2="http://schemas.microsoft.com/office/drawing/2015/06/chart">
            <c:ext xmlns:c16="http://schemas.microsoft.com/office/drawing/2014/chart" uri="{C3380CC4-5D6E-409C-BE32-E72D297353CC}">
              <c16:uniqueId val="{00000000-9F9C-49A5-BD40-BB65CA643614}"/>
            </c:ext>
          </c:extLst>
        </c:ser>
        <c:dLbls>
          <c:showLegendKey val="0"/>
          <c:showVal val="0"/>
          <c:showCatName val="0"/>
          <c:showSerName val="0"/>
          <c:showPercent val="0"/>
          <c:showBubbleSize val="0"/>
        </c:dLbls>
        <c:smooth val="0"/>
        <c:axId val="111762424"/>
        <c:axId val="111757720"/>
      </c:lineChart>
      <c:catAx>
        <c:axId val="111762424"/>
        <c:scaling>
          <c:orientation val="minMax"/>
        </c:scaling>
        <c:delete val="0"/>
        <c:axPos val="b"/>
        <c:title>
          <c:tx>
            <c:strRef>
              <c:f>'Defrost Correction'!$C$2</c:f>
              <c:strCache>
                <c:ptCount val="1"/>
                <c:pt idx="0">
                  <c:v>Outdoor Temperature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57720"/>
        <c:crosses val="autoZero"/>
        <c:auto val="1"/>
        <c:lblAlgn val="ctr"/>
        <c:lblOffset val="100"/>
        <c:noMultiLvlLbl val="0"/>
      </c:catAx>
      <c:valAx>
        <c:axId val="111757720"/>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'Defrost Correction'!$D$2</c:f>
              <c:strCache>
                <c:ptCount val="1"/>
                <c:pt idx="0">
                  <c:v>Defrost Correction</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624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7432177881474"/>
          <c:y val="8.0385852090032156E-2"/>
          <c:w val="0.83512821588399222"/>
          <c:h val="0.74506279766249861"/>
        </c:manualLayout>
      </c:layout>
      <c:scatterChart>
        <c:scatterStyle val="lineMarker"/>
        <c:varyColors val="0"/>
        <c:ser>
          <c:idx val="0"/>
          <c:order val="0"/>
          <c:tx>
            <c:v>Tabulated data</c:v>
          </c:tx>
          <c:spPr>
            <a:ln w="25400"/>
          </c:spPr>
          <c:marker>
            <c:symbol val="circle"/>
            <c:size val="7"/>
            <c:spPr>
              <a:noFill/>
              <a:ln>
                <a:solidFill>
                  <a:srgbClr val="000080"/>
                </a:solidFill>
                <a:prstDash val="solid"/>
              </a:ln>
            </c:spPr>
          </c:marker>
          <c:trendline>
            <c:spPr>
              <a:ln w="3175">
                <a:prstDash val="sysDot"/>
              </a:ln>
            </c:spPr>
            <c:trendlineType val="linear"/>
            <c:forward val="10"/>
            <c:backward val="10"/>
            <c:dispRSqr val="0"/>
            <c:dispEq val="0"/>
          </c:trendline>
          <c:xVal>
            <c:numRef>
              <c:f>'Non-Ducted'!$C$27:$C$30</c:f>
              <c:numCache>
                <c:formatCode>General</c:formatCode>
                <c:ptCount val="4"/>
                <c:pt idx="0">
                  <c:v>69.8</c:v>
                </c:pt>
                <c:pt idx="1">
                  <c:v>75.2</c:v>
                </c:pt>
                <c:pt idx="2">
                  <c:v>80.599999999999994</c:v>
                </c:pt>
                <c:pt idx="3">
                  <c:v>89.6</c:v>
                </c:pt>
              </c:numCache>
            </c:numRef>
          </c:xVal>
          <c:yVal>
            <c:numRef>
              <c:f>'Non-Ducted'!$R$27:$R$30</c:f>
              <c:numCache>
                <c:formatCode>#,##0.00</c:formatCode>
                <c:ptCount val="4"/>
                <c:pt idx="0">
                  <c:v>17.920000000000016</c:v>
                </c:pt>
                <c:pt idx="1">
                  <c:v>19.350000000000009</c:v>
                </c:pt>
                <c:pt idx="2">
                  <c:v>21.540000000000006</c:v>
                </c:pt>
                <c:pt idx="3">
                  <c:v>23.480000000000004</c:v>
                </c:pt>
              </c:numCache>
            </c:numRef>
          </c:yVal>
          <c:smooth val="0"/>
          <c:extLst xmlns:c16r2="http://schemas.microsoft.com/office/drawing/2015/06/chart">
            <c:ext xmlns:c16="http://schemas.microsoft.com/office/drawing/2014/chart" uri="{C3380CC4-5D6E-409C-BE32-E72D297353CC}">
              <c16:uniqueId val="{00000001-BAD6-4119-9F9B-0B5CA6640845}"/>
            </c:ext>
          </c:extLst>
        </c:ser>
        <c:ser>
          <c:idx val="1"/>
          <c:order val="1"/>
          <c:tx>
            <c:v>Interpolated data</c:v>
          </c:tx>
          <c:spPr>
            <a:ln w="25400" cap="rnd" cmpd="sng">
              <a:round/>
            </a:ln>
          </c:spPr>
          <c:marker>
            <c:symbol val="plus"/>
            <c:size val="10"/>
            <c:spPr>
              <a:noFill/>
              <a:ln w="25400" cap="sq" cmpd="dbl">
                <a:solidFill>
                  <a:srgbClr val="FF0000"/>
                </a:solidFill>
                <a:prstDash val="solid"/>
              </a:ln>
            </c:spPr>
          </c:marker>
          <c:dPt>
            <c:idx val="0"/>
            <c:marker>
              <c:spPr>
                <a:noFill/>
                <a:ln w="25400" cap="sq" cmpd="sng">
                  <a:solidFill>
                    <a:srgbClr val="FF0000"/>
                  </a:solidFill>
                  <a:prstDash val="solid"/>
                  <a:round/>
                </a:ln>
              </c:spPr>
            </c:marker>
            <c:bubble3D val="0"/>
            <c:extLst xmlns:c16r2="http://schemas.microsoft.com/office/drawing/2015/06/chart">
              <c:ext xmlns:c16="http://schemas.microsoft.com/office/drawing/2014/chart" uri="{C3380CC4-5D6E-409C-BE32-E72D297353CC}">
                <c16:uniqueId val="{00000002-BAD6-4119-9F9B-0B5CA6640845}"/>
              </c:ext>
            </c:extLst>
          </c:dPt>
          <c:xVal>
            <c:numRef>
              <c:f>'Multizone Sizing Tool'!$F$23</c:f>
              <c:numCache>
                <c:formatCode>General</c:formatCode>
                <c:ptCount val="1"/>
                <c:pt idx="0">
                  <c:v>80</c:v>
                </c:pt>
              </c:numCache>
            </c:numRef>
          </c:xVal>
          <c:yVal>
            <c:numRef>
              <c:f>'Non-Ducted'!$X$27</c:f>
              <c:numCache>
                <c:formatCode>0.00</c:formatCode>
                <c:ptCount val="1"/>
                <c:pt idx="0">
                  <c:v>21.296666666666674</c:v>
                </c:pt>
              </c:numCache>
            </c:numRef>
          </c:yVal>
          <c:smooth val="0"/>
          <c:extLst xmlns:c16r2="http://schemas.microsoft.com/office/drawing/2015/06/chart">
            <c:ext xmlns:c16="http://schemas.microsoft.com/office/drawing/2014/chart" uri="{C3380CC4-5D6E-409C-BE32-E72D297353CC}">
              <c16:uniqueId val="{00000003-BAD6-4119-9F9B-0B5CA6640845}"/>
            </c:ext>
          </c:extLst>
        </c:ser>
        <c:dLbls>
          <c:showLegendKey val="0"/>
          <c:showVal val="0"/>
          <c:showCatName val="0"/>
          <c:showSerName val="0"/>
          <c:showPercent val="0"/>
          <c:showBubbleSize val="0"/>
        </c:dLbls>
        <c:axId val="506417528"/>
        <c:axId val="506426544"/>
      </c:scatterChart>
      <c:valAx>
        <c:axId val="506417528"/>
        <c:scaling>
          <c:orientation val="minMax"/>
          <c:min val="50"/>
        </c:scaling>
        <c:delete val="0"/>
        <c:axPos val="b"/>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INDOOR</a:t>
                </a:r>
                <a:r>
                  <a:rPr lang="en-US" baseline="0"/>
                  <a:t> </a:t>
                </a:r>
                <a:r>
                  <a:rPr lang="en-US"/>
                  <a:t>TEMPERATURE</a:t>
                </a:r>
              </a:p>
            </c:rich>
          </c:tx>
          <c:layout>
            <c:manualLayout>
              <c:xMode val="edge"/>
              <c:yMode val="edge"/>
              <c:x val="0.41253263707571802"/>
              <c:y val="0.877813504823151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6426544"/>
        <c:crosses val="autoZero"/>
        <c:crossBetween val="midCat"/>
      </c:valAx>
      <c:valAx>
        <c:axId val="506426544"/>
        <c:scaling>
          <c:orientation val="minMax"/>
          <c:min val="15"/>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CAPACITY</a:t>
                </a:r>
              </a:p>
            </c:rich>
          </c:tx>
          <c:layout>
            <c:manualLayout>
              <c:xMode val="edge"/>
              <c:yMode val="edge"/>
              <c:x val="4.7364319957612956E-2"/>
              <c:y val="0.3220761982867418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6417528"/>
        <c:crosses val="autoZero"/>
        <c:crossBetween val="midCat"/>
      </c:valAx>
      <c:spPr>
        <a:solidFill>
          <a:srgbClr val="FFFFFF"/>
        </a:solidFill>
        <a:ln w="12700">
          <a:solidFill>
            <a:srgbClr val="808080"/>
          </a:solidFill>
          <a:prstDash val="solid"/>
        </a:ln>
      </c:spPr>
    </c:plotArea>
    <c:legend>
      <c:legendPos val="r"/>
      <c:layout>
        <c:manualLayout>
          <c:xMode val="edge"/>
          <c:yMode val="edge"/>
          <c:x val="0.40120178760184927"/>
          <c:y val="6.0529044325187279E-3"/>
          <c:w val="0.30809399477806787"/>
          <c:h val="0.1254019292604501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905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7432177881474"/>
          <c:y val="8.0385852090032156E-2"/>
          <c:w val="0.83512821588399222"/>
          <c:h val="0.74506279766249861"/>
        </c:manualLayout>
      </c:layout>
      <c:scatterChart>
        <c:scatterStyle val="lineMarker"/>
        <c:varyColors val="0"/>
        <c:ser>
          <c:idx val="0"/>
          <c:order val="0"/>
          <c:tx>
            <c:v>Tabulated data</c:v>
          </c:tx>
          <c:marker>
            <c:symbol val="circle"/>
            <c:size val="7"/>
            <c:spPr>
              <a:noFill/>
              <a:ln>
                <a:solidFill>
                  <a:srgbClr val="000080"/>
                </a:solidFill>
                <a:prstDash val="solid"/>
              </a:ln>
            </c:spPr>
          </c:marker>
          <c:trendline>
            <c:spPr>
              <a:ln w="3175">
                <a:prstDash val="sysDot"/>
              </a:ln>
            </c:spPr>
            <c:trendlineType val="linear"/>
            <c:forward val="10"/>
            <c:backward val="10"/>
            <c:dispRSqr val="0"/>
            <c:dispEq val="0"/>
          </c:trendline>
          <c:xVal>
            <c:numRef>
              <c:f>'Non-Ducted'!$C$118:$C$121</c:f>
              <c:numCache>
                <c:formatCode>General</c:formatCode>
                <c:ptCount val="4"/>
                <c:pt idx="0">
                  <c:v>59</c:v>
                </c:pt>
                <c:pt idx="1">
                  <c:v>64.400000000000006</c:v>
                </c:pt>
                <c:pt idx="2">
                  <c:v>69</c:v>
                </c:pt>
                <c:pt idx="3">
                  <c:v>71.599999999999994</c:v>
                </c:pt>
              </c:numCache>
            </c:numRef>
          </c:xVal>
          <c:yVal>
            <c:numRef>
              <c:f>'Non-Ducted'!$R$118:$R$121</c:f>
              <c:numCache>
                <c:formatCode>#,##0.00</c:formatCode>
                <c:ptCount val="4"/>
                <c:pt idx="0">
                  <c:v>25.887999999999998</c:v>
                </c:pt>
                <c:pt idx="1">
                  <c:v>25.497111111111114</c:v>
                </c:pt>
                <c:pt idx="2">
                  <c:v>24.080444444444446</c:v>
                </c:pt>
                <c:pt idx="3">
                  <c:v>23.718666666666671</c:v>
                </c:pt>
              </c:numCache>
            </c:numRef>
          </c:yVal>
          <c:smooth val="0"/>
          <c:extLst xmlns:c16r2="http://schemas.microsoft.com/office/drawing/2015/06/chart">
            <c:ext xmlns:c16="http://schemas.microsoft.com/office/drawing/2014/chart" uri="{C3380CC4-5D6E-409C-BE32-E72D297353CC}">
              <c16:uniqueId val="{00000001-9717-478D-855C-BA21F62C6894}"/>
            </c:ext>
          </c:extLst>
        </c:ser>
        <c:ser>
          <c:idx val="1"/>
          <c:order val="1"/>
          <c:tx>
            <c:v>Interpolated data</c:v>
          </c:tx>
          <c:marker>
            <c:symbol val="plus"/>
            <c:size val="10"/>
            <c:spPr>
              <a:noFill/>
              <a:ln w="25400" cap="sq" cmpd="dbl">
                <a:solidFill>
                  <a:srgbClr val="FF0000"/>
                </a:solidFill>
                <a:prstDash val="solid"/>
              </a:ln>
            </c:spPr>
          </c:marker>
          <c:xVal>
            <c:numRef>
              <c:f>'Multizone Sizing Tool'!$F$23</c:f>
              <c:numCache>
                <c:formatCode>General</c:formatCode>
                <c:ptCount val="1"/>
                <c:pt idx="0">
                  <c:v>80</c:v>
                </c:pt>
              </c:numCache>
            </c:numRef>
          </c:xVal>
          <c:yVal>
            <c:numRef>
              <c:f>'Non-Ducted'!$X$118</c:f>
              <c:numCache>
                <c:formatCode>0.00</c:formatCode>
                <c:ptCount val="1"/>
                <c:pt idx="0">
                  <c:v>23.941299145299148</c:v>
                </c:pt>
              </c:numCache>
            </c:numRef>
          </c:yVal>
          <c:smooth val="0"/>
          <c:extLst xmlns:c16r2="http://schemas.microsoft.com/office/drawing/2015/06/chart">
            <c:ext xmlns:c16="http://schemas.microsoft.com/office/drawing/2014/chart" uri="{C3380CC4-5D6E-409C-BE32-E72D297353CC}">
              <c16:uniqueId val="{00000003-9717-478D-855C-BA21F62C6894}"/>
            </c:ext>
          </c:extLst>
        </c:ser>
        <c:dLbls>
          <c:showLegendKey val="0"/>
          <c:showVal val="0"/>
          <c:showCatName val="0"/>
          <c:showSerName val="0"/>
          <c:showPercent val="0"/>
          <c:showBubbleSize val="0"/>
        </c:dLbls>
        <c:axId val="506416744"/>
        <c:axId val="506423800"/>
      </c:scatterChart>
      <c:valAx>
        <c:axId val="506416744"/>
        <c:scaling>
          <c:orientation val="minMax"/>
          <c:min val="50"/>
        </c:scaling>
        <c:delete val="0"/>
        <c:axPos val="b"/>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INDOOR </a:t>
                </a:r>
                <a:r>
                  <a:rPr lang="en-US"/>
                  <a:t>TEMPERATURE</a:t>
                </a:r>
              </a:p>
            </c:rich>
          </c:tx>
          <c:layout>
            <c:manualLayout>
              <c:xMode val="edge"/>
              <c:yMode val="edge"/>
              <c:x val="0.41253263707571802"/>
              <c:y val="0.877813504823151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6423800"/>
        <c:crosses val="autoZero"/>
        <c:crossBetween val="midCat"/>
      </c:valAx>
      <c:valAx>
        <c:axId val="50642380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CAPACITY</a:t>
                </a:r>
              </a:p>
            </c:rich>
          </c:tx>
          <c:layout>
            <c:manualLayout>
              <c:xMode val="edge"/>
              <c:yMode val="edge"/>
              <c:x val="4.7364319957612956E-2"/>
              <c:y val="0.3220761982867418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06416744"/>
        <c:crosses val="autoZero"/>
        <c:crossBetween val="midCat"/>
      </c:valAx>
      <c:spPr>
        <a:solidFill>
          <a:srgbClr val="FFFFFF"/>
        </a:solidFill>
        <a:ln w="12700">
          <a:solidFill>
            <a:srgbClr val="808080"/>
          </a:solidFill>
          <a:prstDash val="solid"/>
        </a:ln>
      </c:spPr>
    </c:plotArea>
    <c:legend>
      <c:legendPos val="r"/>
      <c:layout>
        <c:manualLayout>
          <c:xMode val="edge"/>
          <c:yMode val="edge"/>
          <c:x val="0.40120178760184927"/>
          <c:y val="6.0529044325187279E-3"/>
          <c:w val="0.30809399477806787"/>
          <c:h val="0.1254019292604501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905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hyperlink" Target="https://www.shareddocs.com/hvac/docs/1004/Public/0A/ECAT-CARRIER-VROOM-20330/1/ECAT-CARRIER-VROOM-20330.EXE"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188055</xdr:colOff>
      <xdr:row>52</xdr:row>
      <xdr:rowOff>11205</xdr:rowOff>
    </xdr:from>
    <xdr:to>
      <xdr:col>8</xdr:col>
      <xdr:colOff>1214514</xdr:colOff>
      <xdr:row>55</xdr:row>
      <xdr:rowOff>110610</xdr:rowOff>
    </xdr:to>
    <xdr:pic>
      <xdr:nvPicPr>
        <xdr:cNvPr id="27" name="Picture 26">
          <a:extLst>
            <a:ext uri="{FF2B5EF4-FFF2-40B4-BE49-F238E27FC236}">
              <a16:creationId xmlns="" xmlns:a16="http://schemas.microsoft.com/office/drawing/2014/main" id="{E01A7551-B5D5-4FAF-9C74-4AF3B4C522B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09996" y="8426823"/>
          <a:ext cx="1026459" cy="726935"/>
        </a:xfrm>
        <a:prstGeom prst="rect">
          <a:avLst/>
        </a:prstGeom>
      </xdr:spPr>
    </xdr:pic>
    <xdr:clientData/>
  </xdr:twoCellAnchor>
  <xdr:twoCellAnchor editAs="oneCell">
    <xdr:from>
      <xdr:col>7</xdr:col>
      <xdr:colOff>56029</xdr:colOff>
      <xdr:row>52</xdr:row>
      <xdr:rowOff>267927</xdr:rowOff>
    </xdr:from>
    <xdr:to>
      <xdr:col>7</xdr:col>
      <xdr:colOff>1045448</xdr:colOff>
      <xdr:row>55</xdr:row>
      <xdr:rowOff>8441</xdr:rowOff>
    </xdr:to>
    <xdr:pic>
      <xdr:nvPicPr>
        <xdr:cNvPr id="30" name="Picture 29">
          <a:extLst>
            <a:ext uri="{FF2B5EF4-FFF2-40B4-BE49-F238E27FC236}">
              <a16:creationId xmlns="" xmlns:a16="http://schemas.microsoft.com/office/drawing/2014/main" id="{B3C02A6B-2D2D-41BF-B568-712EC2691F4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3853" y="9008515"/>
          <a:ext cx="989419" cy="368044"/>
        </a:xfrm>
        <a:prstGeom prst="rect">
          <a:avLst/>
        </a:prstGeom>
      </xdr:spPr>
    </xdr:pic>
    <xdr:clientData/>
  </xdr:twoCellAnchor>
  <xdr:twoCellAnchor editAs="oneCell">
    <xdr:from>
      <xdr:col>9</xdr:col>
      <xdr:colOff>70016</xdr:colOff>
      <xdr:row>52</xdr:row>
      <xdr:rowOff>72981</xdr:rowOff>
    </xdr:from>
    <xdr:to>
      <xdr:col>9</xdr:col>
      <xdr:colOff>1265316</xdr:colOff>
      <xdr:row>56</xdr:row>
      <xdr:rowOff>4740</xdr:rowOff>
    </xdr:to>
    <xdr:pic>
      <xdr:nvPicPr>
        <xdr:cNvPr id="34" name="Picture 33">
          <a:extLst>
            <a:ext uri="{FF2B5EF4-FFF2-40B4-BE49-F238E27FC236}">
              <a16:creationId xmlns="" xmlns:a16="http://schemas.microsoft.com/office/drawing/2014/main" id="{3F956391-242E-41AE-961C-BDD1EAB643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69428" y="8488599"/>
          <a:ext cx="1195300" cy="71617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10</xdr:col>
      <xdr:colOff>370512</xdr:colOff>
      <xdr:row>49</xdr:row>
      <xdr:rowOff>64111</xdr:rowOff>
    </xdr:from>
    <xdr:to>
      <xdr:col>10</xdr:col>
      <xdr:colOff>930087</xdr:colOff>
      <xdr:row>53</xdr:row>
      <xdr:rowOff>32167</xdr:rowOff>
    </xdr:to>
    <xdr:pic>
      <xdr:nvPicPr>
        <xdr:cNvPr id="35" name="Picture 34">
          <a:extLst>
            <a:ext uri="{FF2B5EF4-FFF2-40B4-BE49-F238E27FC236}">
              <a16:creationId xmlns="" xmlns:a16="http://schemas.microsoft.com/office/drawing/2014/main" id="{4CC3933C-3B9D-4DD8-84E8-B89F99703DF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987836" y="8334052"/>
          <a:ext cx="559575" cy="707644"/>
        </a:xfrm>
        <a:prstGeom prst="rect">
          <a:avLst/>
        </a:prstGeom>
      </xdr:spPr>
    </xdr:pic>
    <xdr:clientData/>
  </xdr:twoCellAnchor>
  <xdr:twoCellAnchor editAs="oneCell">
    <xdr:from>
      <xdr:col>10</xdr:col>
      <xdr:colOff>28011</xdr:colOff>
      <xdr:row>54</xdr:row>
      <xdr:rowOff>33618</xdr:rowOff>
    </xdr:from>
    <xdr:to>
      <xdr:col>10</xdr:col>
      <xdr:colOff>1495615</xdr:colOff>
      <xdr:row>57</xdr:row>
      <xdr:rowOff>22412</xdr:rowOff>
    </xdr:to>
    <xdr:pic>
      <xdr:nvPicPr>
        <xdr:cNvPr id="36" name="Picture 35">
          <a:extLst>
            <a:ext uri="{FF2B5EF4-FFF2-40B4-BE49-F238E27FC236}">
              <a16:creationId xmlns="" xmlns:a16="http://schemas.microsoft.com/office/drawing/2014/main" id="{C5CE6C0A-6FAD-4F27-BA3D-9DDD8A3798B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45335" y="9244853"/>
          <a:ext cx="1467604" cy="4594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43085</xdr:colOff>
      <xdr:row>54</xdr:row>
      <xdr:rowOff>62896</xdr:rowOff>
    </xdr:from>
    <xdr:to>
      <xdr:col>4</xdr:col>
      <xdr:colOff>1618876</xdr:colOff>
      <xdr:row>57</xdr:row>
      <xdr:rowOff>171189</xdr:rowOff>
    </xdr:to>
    <xdr:pic>
      <xdr:nvPicPr>
        <xdr:cNvPr id="47" name="Picture 46">
          <a:extLst>
            <a:ext uri="{FF2B5EF4-FFF2-40B4-BE49-F238E27FC236}">
              <a16:creationId xmlns="" xmlns:a16="http://schemas.microsoft.com/office/drawing/2014/main" id="{F85426B8-043E-4CA9-B137-5CF1EEF818A7}"/>
            </a:ext>
          </a:extLst>
        </xdr:cNvPr>
        <xdr:cNvPicPr>
          <a:picLocks noChangeAspect="1"/>
        </xdr:cNvPicPr>
      </xdr:nvPicPr>
      <xdr:blipFill>
        <a:blip xmlns:r="http://schemas.openxmlformats.org/officeDocument/2006/relationships" r:embed="rId6"/>
        <a:stretch>
          <a:fillRect/>
        </a:stretch>
      </xdr:blipFill>
      <xdr:spPr>
        <a:xfrm>
          <a:off x="984379" y="9094837"/>
          <a:ext cx="1575791" cy="578940"/>
        </a:xfrm>
        <a:prstGeom prst="rect">
          <a:avLst/>
        </a:prstGeom>
      </xdr:spPr>
    </xdr:pic>
    <xdr:clientData/>
  </xdr:twoCellAnchor>
  <xdr:twoCellAnchor editAs="oneCell">
    <xdr:from>
      <xdr:col>12</xdr:col>
      <xdr:colOff>336176</xdr:colOff>
      <xdr:row>52</xdr:row>
      <xdr:rowOff>134471</xdr:rowOff>
    </xdr:from>
    <xdr:to>
      <xdr:col>12</xdr:col>
      <xdr:colOff>1193996</xdr:colOff>
      <xdr:row>56</xdr:row>
      <xdr:rowOff>25549</xdr:rowOff>
    </xdr:to>
    <xdr:pic>
      <xdr:nvPicPr>
        <xdr:cNvPr id="2" name="Picture 1">
          <a:extLst>
            <a:ext uri="{FF2B5EF4-FFF2-40B4-BE49-F238E27FC236}">
              <a16:creationId xmlns="" xmlns:a16="http://schemas.microsoft.com/office/drawing/2014/main" id="{B3AF76F8-7B8D-40F5-9D24-F576074CA8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1990294" y="8875059"/>
          <a:ext cx="857820" cy="675490"/>
        </a:xfrm>
        <a:prstGeom prst="rect">
          <a:avLst/>
        </a:prstGeom>
      </xdr:spPr>
    </xdr:pic>
    <xdr:clientData/>
  </xdr:twoCellAnchor>
  <xdr:twoCellAnchor editAs="oneCell">
    <xdr:from>
      <xdr:col>13</xdr:col>
      <xdr:colOff>112059</xdr:colOff>
      <xdr:row>52</xdr:row>
      <xdr:rowOff>22412</xdr:rowOff>
    </xdr:from>
    <xdr:to>
      <xdr:col>13</xdr:col>
      <xdr:colOff>1074619</xdr:colOff>
      <xdr:row>56</xdr:row>
      <xdr:rowOff>25549</xdr:rowOff>
    </xdr:to>
    <xdr:pic>
      <xdr:nvPicPr>
        <xdr:cNvPr id="3" name="Picture 2">
          <a:extLst>
            <a:ext uri="{FF2B5EF4-FFF2-40B4-BE49-F238E27FC236}">
              <a16:creationId xmlns="" xmlns:a16="http://schemas.microsoft.com/office/drawing/2014/main" id="{A86EEB19-50B1-4D0F-8EAD-AF30E88724F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3323794" y="8763000"/>
          <a:ext cx="962560" cy="787549"/>
        </a:xfrm>
        <a:prstGeom prst="rect">
          <a:avLst/>
        </a:prstGeom>
      </xdr:spPr>
    </xdr:pic>
    <xdr:clientData/>
  </xdr:twoCellAnchor>
  <xdr:twoCellAnchor editAs="oneCell">
    <xdr:from>
      <xdr:col>14</xdr:col>
      <xdr:colOff>246531</xdr:colOff>
      <xdr:row>50</xdr:row>
      <xdr:rowOff>139352</xdr:rowOff>
    </xdr:from>
    <xdr:to>
      <xdr:col>14</xdr:col>
      <xdr:colOff>997324</xdr:colOff>
      <xdr:row>56</xdr:row>
      <xdr:rowOff>25549</xdr:rowOff>
    </xdr:to>
    <xdr:pic>
      <xdr:nvPicPr>
        <xdr:cNvPr id="4" name="Picture 3">
          <a:extLst>
            <a:ext uri="{FF2B5EF4-FFF2-40B4-BE49-F238E27FC236}">
              <a16:creationId xmlns="" xmlns:a16="http://schemas.microsoft.com/office/drawing/2014/main" id="{103DEEA2-7175-4A88-A73B-77B9405A57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4601266" y="8566176"/>
          <a:ext cx="750793" cy="984373"/>
        </a:xfrm>
        <a:prstGeom prst="rect">
          <a:avLst/>
        </a:prstGeom>
      </xdr:spPr>
    </xdr:pic>
    <xdr:clientData/>
  </xdr:twoCellAnchor>
  <xdr:twoCellAnchor editAs="oneCell">
    <xdr:from>
      <xdr:col>5</xdr:col>
      <xdr:colOff>291350</xdr:colOff>
      <xdr:row>49</xdr:row>
      <xdr:rowOff>22412</xdr:rowOff>
    </xdr:from>
    <xdr:to>
      <xdr:col>6</xdr:col>
      <xdr:colOff>750794</xdr:colOff>
      <xdr:row>52</xdr:row>
      <xdr:rowOff>59766</xdr:rowOff>
    </xdr:to>
    <xdr:pic>
      <xdr:nvPicPr>
        <xdr:cNvPr id="5" name="Picture 4">
          <a:extLst>
            <a:ext uri="{FF2B5EF4-FFF2-40B4-BE49-F238E27FC236}">
              <a16:creationId xmlns="" xmlns:a16="http://schemas.microsoft.com/office/drawing/2014/main" id="{604B08A1-9D49-484F-A18E-71086F2CA4C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193674" y="8292353"/>
          <a:ext cx="1524002" cy="508001"/>
        </a:xfrm>
        <a:prstGeom prst="rect">
          <a:avLst/>
        </a:prstGeom>
      </xdr:spPr>
    </xdr:pic>
    <xdr:clientData/>
  </xdr:twoCellAnchor>
  <xdr:twoCellAnchor editAs="oneCell">
    <xdr:from>
      <xdr:col>4</xdr:col>
      <xdr:colOff>11205</xdr:colOff>
      <xdr:row>49</xdr:row>
      <xdr:rowOff>22411</xdr:rowOff>
    </xdr:from>
    <xdr:to>
      <xdr:col>4</xdr:col>
      <xdr:colOff>1659250</xdr:colOff>
      <xdr:row>52</xdr:row>
      <xdr:rowOff>67236</xdr:rowOff>
    </xdr:to>
    <xdr:pic>
      <xdr:nvPicPr>
        <xdr:cNvPr id="6" name="Picture 5">
          <a:extLst>
            <a:ext uri="{FF2B5EF4-FFF2-40B4-BE49-F238E27FC236}">
              <a16:creationId xmlns="" xmlns:a16="http://schemas.microsoft.com/office/drawing/2014/main" id="{5084B178-2C27-46AC-90E9-22D6C3C6116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952499" y="8292352"/>
          <a:ext cx="1648045" cy="515472"/>
        </a:xfrm>
        <a:prstGeom prst="rect">
          <a:avLst/>
        </a:prstGeom>
      </xdr:spPr>
    </xdr:pic>
    <xdr:clientData/>
  </xdr:twoCellAnchor>
  <xdr:twoCellAnchor editAs="oneCell">
    <xdr:from>
      <xdr:col>10</xdr:col>
      <xdr:colOff>369793</xdr:colOff>
      <xdr:row>21</xdr:row>
      <xdr:rowOff>11206</xdr:rowOff>
    </xdr:from>
    <xdr:to>
      <xdr:col>10</xdr:col>
      <xdr:colOff>1284079</xdr:colOff>
      <xdr:row>26</xdr:row>
      <xdr:rowOff>85051</xdr:rowOff>
    </xdr:to>
    <xdr:pic>
      <xdr:nvPicPr>
        <xdr:cNvPr id="7" name="Picture 6">
          <a:hlinkClick xmlns:r="http://schemas.openxmlformats.org/officeDocument/2006/relationships" r:id="rId12"/>
          <a:extLst>
            <a:ext uri="{FF2B5EF4-FFF2-40B4-BE49-F238E27FC236}">
              <a16:creationId xmlns="" xmlns:a16="http://schemas.microsoft.com/office/drawing/2014/main" id="{33990EBF-C19A-434B-8590-3A43B56A47B1}"/>
            </a:ext>
          </a:extLst>
        </xdr:cNvPr>
        <xdr:cNvPicPr>
          <a:picLocks noChangeAspect="1"/>
        </xdr:cNvPicPr>
      </xdr:nvPicPr>
      <xdr:blipFill>
        <a:blip xmlns:r="http://schemas.openxmlformats.org/officeDocument/2006/relationships" r:embed="rId13"/>
        <a:stretch>
          <a:fillRect/>
        </a:stretch>
      </xdr:blipFill>
      <xdr:spPr>
        <a:xfrm>
          <a:off x="8987117" y="3608294"/>
          <a:ext cx="914286" cy="914286"/>
        </a:xfrm>
        <a:prstGeom prst="rect">
          <a:avLst/>
        </a:prstGeom>
      </xdr:spPr>
    </xdr:pic>
    <xdr:clientData/>
  </xdr:twoCellAnchor>
  <xdr:twoCellAnchor editAs="oneCell">
    <xdr:from>
      <xdr:col>11</xdr:col>
      <xdr:colOff>403410</xdr:colOff>
      <xdr:row>49</xdr:row>
      <xdr:rowOff>22412</xdr:rowOff>
    </xdr:from>
    <xdr:to>
      <xdr:col>11</xdr:col>
      <xdr:colOff>1109382</xdr:colOff>
      <xdr:row>57</xdr:row>
      <xdr:rowOff>36258</xdr:rowOff>
    </xdr:to>
    <xdr:pic>
      <xdr:nvPicPr>
        <xdr:cNvPr id="14" name="Picture 13">
          <a:extLst>
            <a:ext uri="{FF2B5EF4-FFF2-40B4-BE49-F238E27FC236}">
              <a16:creationId xmlns="" xmlns:a16="http://schemas.microsoft.com/office/drawing/2014/main" id="{9A20B3BE-8BFD-4EE1-8A79-914468D89D88}"/>
            </a:ext>
          </a:extLst>
        </xdr:cNvPr>
        <xdr:cNvPicPr>
          <a:picLocks noChangeAspect="1"/>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a:off x="10533528" y="8292353"/>
          <a:ext cx="705972" cy="1425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600075</xdr:colOff>
      <xdr:row>1</xdr:row>
      <xdr:rowOff>185737</xdr:rowOff>
    </xdr:from>
    <xdr:to>
      <xdr:col>12</xdr:col>
      <xdr:colOff>295275</xdr:colOff>
      <xdr:row>16</xdr:row>
      <xdr:rowOff>71437</xdr:rowOff>
    </xdr:to>
    <xdr:graphicFrame macro="">
      <xdr:nvGraphicFramePr>
        <xdr:cNvPr id="2" name="Chart 1">
          <a:extLst>
            <a:ext uri="{FF2B5EF4-FFF2-40B4-BE49-F238E27FC236}">
              <a16:creationId xmlns="" xmlns:a16="http://schemas.microsoft.com/office/drawing/2014/main" id="{B9B78554-313B-4016-9BD6-B33201A6A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231322</xdr:colOff>
      <xdr:row>46</xdr:row>
      <xdr:rowOff>40822</xdr:rowOff>
    </xdr:from>
    <xdr:to>
      <xdr:col>25</xdr:col>
      <xdr:colOff>163285</xdr:colOff>
      <xdr:row>65</xdr:row>
      <xdr:rowOff>149679</xdr:rowOff>
    </xdr:to>
    <xdr:graphicFrame macro="">
      <xdr:nvGraphicFramePr>
        <xdr:cNvPr id="13" name="Chart 1">
          <a:extLst>
            <a:ext uri="{FF2B5EF4-FFF2-40B4-BE49-F238E27FC236}">
              <a16:creationId xmlns=""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137</xdr:row>
      <xdr:rowOff>27214</xdr:rowOff>
    </xdr:from>
    <xdr:to>
      <xdr:col>25</xdr:col>
      <xdr:colOff>27214</xdr:colOff>
      <xdr:row>161</xdr:row>
      <xdr:rowOff>136071</xdr:rowOff>
    </xdr:to>
    <xdr:graphicFrame macro="">
      <xdr:nvGraphicFramePr>
        <xdr:cNvPr id="3" name="Chart 1">
          <a:extLst>
            <a:ext uri="{FF2B5EF4-FFF2-40B4-BE49-F238E27FC236}">
              <a16:creationId xmlns="" xmlns:a16="http://schemas.microsoft.com/office/drawing/2014/main" id="{7214EB23-0490-44C8-9DBF-F2EEB72EF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28575</xdr:colOff>
      <xdr:row>1</xdr:row>
      <xdr:rowOff>171450</xdr:rowOff>
    </xdr:from>
    <xdr:to>
      <xdr:col>16</xdr:col>
      <xdr:colOff>361950</xdr:colOff>
      <xdr:row>20</xdr:row>
      <xdr:rowOff>0</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4575" y="361950"/>
          <a:ext cx="3990975" cy="34671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c0136/Documents/VRoom/VRoom%20Lite/Multi-zone%20Design%20Quick%20Select%20CMNA-ICP%20V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c0136/Documents/Product%20Catalog/Ductless%20Systems%20-%20Product%20Catalog%20CBP%202020-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zone Sizing Tool"/>
      <sheetName val="Multi-zone Combinations"/>
      <sheetName val="Revision"/>
      <sheetName val="Calculations"/>
      <sheetName val="Defrost Correction"/>
      <sheetName val="Non-Ducted"/>
      <sheetName val="Mixed Ducted and Non-Ducted"/>
      <sheetName val="Ducted"/>
      <sheetName val="Cap based on indoor unit SZ"/>
      <sheetName val="Altitude Correction"/>
      <sheetName val="Piping Correction"/>
    </sheetNames>
    <sheetDataSet>
      <sheetData sheetId="0">
        <row r="6">
          <cell r="F6">
            <v>27</v>
          </cell>
        </row>
        <row r="16">
          <cell r="F16">
            <v>95</v>
          </cell>
        </row>
        <row r="17">
          <cell r="F17">
            <v>45</v>
          </cell>
        </row>
        <row r="23">
          <cell r="F23">
            <v>80</v>
          </cell>
        </row>
        <row r="24">
          <cell r="F24">
            <v>70</v>
          </cell>
        </row>
      </sheetData>
      <sheetData sheetId="1" refreshError="1"/>
      <sheetData sheetId="2" refreshError="1"/>
      <sheetData sheetId="3">
        <row r="13">
          <cell r="Q13" t="str">
            <v>Indoor Type</v>
          </cell>
        </row>
        <row r="14">
          <cell r="Q14" t="str">
            <v>High Wall</v>
          </cell>
        </row>
        <row r="15">
          <cell r="Q15" t="str">
            <v>High Wall</v>
          </cell>
        </row>
        <row r="16">
          <cell r="O16" t="str">
            <v>High Wall</v>
          </cell>
          <cell r="Q16" t="str">
            <v>High Wall</v>
          </cell>
        </row>
        <row r="17">
          <cell r="O17" t="str">
            <v>Cassette</v>
          </cell>
          <cell r="Q17" t="str">
            <v>High Wall</v>
          </cell>
        </row>
        <row r="18">
          <cell r="O18" t="str">
            <v>Ducted</v>
          </cell>
          <cell r="Q18" t="str">
            <v>High Wall</v>
          </cell>
        </row>
        <row r="19">
          <cell r="O19" t="str">
            <v>Air Handler</v>
          </cell>
          <cell r="Q19" t="str">
            <v>High Wall</v>
          </cell>
        </row>
        <row r="20">
          <cell r="O20" t="str">
            <v>Console</v>
          </cell>
          <cell r="Q20" t="str">
            <v>High Wall</v>
          </cell>
        </row>
        <row r="21">
          <cell r="Q21" t="str">
            <v>High Wall</v>
          </cell>
        </row>
        <row r="22">
          <cell r="Q22" t="str">
            <v>High Wall</v>
          </cell>
        </row>
        <row r="23">
          <cell r="Q23" t="str">
            <v>High Wall</v>
          </cell>
        </row>
        <row r="24">
          <cell r="Q24" t="str">
            <v>Cassette</v>
          </cell>
        </row>
        <row r="25">
          <cell r="Q25" t="str">
            <v>Cassette</v>
          </cell>
        </row>
        <row r="26">
          <cell r="Q26" t="str">
            <v>Cassette</v>
          </cell>
        </row>
        <row r="27">
          <cell r="Q27" t="str">
            <v>Cassette</v>
          </cell>
        </row>
        <row r="28">
          <cell r="Q28" t="str">
            <v>Ducted</v>
          </cell>
        </row>
        <row r="29">
          <cell r="Q29" t="str">
            <v>Ducted</v>
          </cell>
        </row>
        <row r="30">
          <cell r="Q30" t="str">
            <v>Ducted</v>
          </cell>
        </row>
        <row r="31">
          <cell r="Q31" t="str">
            <v>Ducted</v>
          </cell>
        </row>
        <row r="32">
          <cell r="Q32" t="str">
            <v>Air Handler</v>
          </cell>
        </row>
        <row r="33">
          <cell r="Q33" t="str">
            <v>Console</v>
          </cell>
        </row>
        <row r="34">
          <cell r="Q34" t="str">
            <v>Console</v>
          </cell>
        </row>
        <row r="35">
          <cell r="Q35" t="str">
            <v>Console</v>
          </cell>
        </row>
      </sheetData>
      <sheetData sheetId="4">
        <row r="2">
          <cell r="C2" t="str">
            <v>Outdoor Temperature</v>
          </cell>
        </row>
      </sheetData>
      <sheetData sheetId="5">
        <row r="4">
          <cell r="AE4">
            <v>9</v>
          </cell>
          <cell r="AF4">
            <v>9</v>
          </cell>
        </row>
        <row r="5">
          <cell r="AE5">
            <v>9</v>
          </cell>
          <cell r="AF5">
            <v>12</v>
          </cell>
        </row>
        <row r="6">
          <cell r="AE6">
            <v>12</v>
          </cell>
          <cell r="AF6">
            <v>12</v>
          </cell>
        </row>
        <row r="8">
          <cell r="AE8">
            <v>9</v>
          </cell>
          <cell r="AF8">
            <v>9</v>
          </cell>
        </row>
        <row r="9">
          <cell r="AE9">
            <v>9</v>
          </cell>
          <cell r="AF9">
            <v>12</v>
          </cell>
        </row>
        <row r="10">
          <cell r="AE10">
            <v>9</v>
          </cell>
          <cell r="AF10">
            <v>18</v>
          </cell>
        </row>
        <row r="11">
          <cell r="AE11">
            <v>12</v>
          </cell>
          <cell r="AF11">
            <v>12</v>
          </cell>
        </row>
        <row r="12">
          <cell r="AE12">
            <v>12</v>
          </cell>
          <cell r="AF12">
            <v>18</v>
          </cell>
        </row>
        <row r="13">
          <cell r="AE13">
            <v>18</v>
          </cell>
          <cell r="AF13">
            <v>18</v>
          </cell>
        </row>
        <row r="14">
          <cell r="AE14">
            <v>9</v>
          </cell>
          <cell r="AF14">
            <v>9</v>
          </cell>
          <cell r="AG14">
            <v>9</v>
          </cell>
        </row>
        <row r="15">
          <cell r="AE15">
            <v>9</v>
          </cell>
          <cell r="AF15">
            <v>9</v>
          </cell>
          <cell r="AG15">
            <v>12</v>
          </cell>
        </row>
        <row r="16">
          <cell r="AE16">
            <v>9</v>
          </cell>
          <cell r="AF16">
            <v>9</v>
          </cell>
          <cell r="AG16">
            <v>18</v>
          </cell>
        </row>
        <row r="17">
          <cell r="AE17">
            <v>9</v>
          </cell>
          <cell r="AF17">
            <v>12</v>
          </cell>
          <cell r="AG17">
            <v>12</v>
          </cell>
        </row>
        <row r="18">
          <cell r="AE18">
            <v>12</v>
          </cell>
          <cell r="AF18">
            <v>12</v>
          </cell>
          <cell r="AG18">
            <v>12</v>
          </cell>
        </row>
        <row r="20">
          <cell r="AE20">
            <v>9</v>
          </cell>
          <cell r="AF20">
            <v>9</v>
          </cell>
        </row>
        <row r="21">
          <cell r="AE21">
            <v>9</v>
          </cell>
          <cell r="AF21">
            <v>12</v>
          </cell>
        </row>
        <row r="22">
          <cell r="AE22">
            <v>9</v>
          </cell>
          <cell r="AF22">
            <v>18</v>
          </cell>
        </row>
        <row r="23">
          <cell r="AE23">
            <v>9</v>
          </cell>
          <cell r="AF23">
            <v>24</v>
          </cell>
        </row>
        <row r="24">
          <cell r="AE24">
            <v>12</v>
          </cell>
          <cell r="AF24">
            <v>12</v>
          </cell>
        </row>
        <row r="25">
          <cell r="AE25">
            <v>12</v>
          </cell>
          <cell r="AF25">
            <v>18</v>
          </cell>
        </row>
        <row r="26">
          <cell r="AE26">
            <v>12</v>
          </cell>
          <cell r="AF26">
            <v>24</v>
          </cell>
        </row>
        <row r="27">
          <cell r="AE27">
            <v>18</v>
          </cell>
          <cell r="AF27">
            <v>18</v>
          </cell>
        </row>
        <row r="28">
          <cell r="AE28">
            <v>9</v>
          </cell>
          <cell r="AF28">
            <v>9</v>
          </cell>
          <cell r="AG28">
            <v>9</v>
          </cell>
        </row>
        <row r="29">
          <cell r="AE29">
            <v>9</v>
          </cell>
          <cell r="AF29">
            <v>9</v>
          </cell>
          <cell r="AG29">
            <v>12</v>
          </cell>
        </row>
        <row r="30">
          <cell r="AE30">
            <v>9</v>
          </cell>
          <cell r="AF30">
            <v>9</v>
          </cell>
          <cell r="AG30">
            <v>18</v>
          </cell>
        </row>
        <row r="31">
          <cell r="AE31">
            <v>9</v>
          </cell>
          <cell r="AF31">
            <v>9</v>
          </cell>
          <cell r="AG31">
            <v>24</v>
          </cell>
        </row>
        <row r="32">
          <cell r="AE32">
            <v>9</v>
          </cell>
          <cell r="AF32">
            <v>12</v>
          </cell>
          <cell r="AG32">
            <v>12</v>
          </cell>
        </row>
        <row r="33">
          <cell r="AE33">
            <v>9</v>
          </cell>
          <cell r="AF33">
            <v>12</v>
          </cell>
          <cell r="AG33">
            <v>18</v>
          </cell>
        </row>
        <row r="34">
          <cell r="AE34">
            <v>9</v>
          </cell>
          <cell r="AF34">
            <v>12</v>
          </cell>
          <cell r="AG34">
            <v>24</v>
          </cell>
        </row>
        <row r="35">
          <cell r="AE35">
            <v>9</v>
          </cell>
          <cell r="AF35">
            <v>18</v>
          </cell>
          <cell r="AG35">
            <v>18</v>
          </cell>
        </row>
        <row r="36">
          <cell r="AE36">
            <v>12</v>
          </cell>
          <cell r="AF36">
            <v>12</v>
          </cell>
          <cell r="AG36">
            <v>12</v>
          </cell>
        </row>
        <row r="37">
          <cell r="AE37">
            <v>12</v>
          </cell>
          <cell r="AF37">
            <v>12</v>
          </cell>
          <cell r="AG37">
            <v>18</v>
          </cell>
        </row>
        <row r="38">
          <cell r="AE38">
            <v>12</v>
          </cell>
          <cell r="AF38">
            <v>18</v>
          </cell>
          <cell r="AG38">
            <v>18</v>
          </cell>
        </row>
        <row r="39">
          <cell r="AE39">
            <v>12</v>
          </cell>
          <cell r="AF39">
            <v>12</v>
          </cell>
          <cell r="AG39">
            <v>24</v>
          </cell>
        </row>
        <row r="40">
          <cell r="AE40">
            <v>9</v>
          </cell>
          <cell r="AF40">
            <v>9</v>
          </cell>
          <cell r="AG40">
            <v>9</v>
          </cell>
          <cell r="AH40">
            <v>9</v>
          </cell>
        </row>
        <row r="41">
          <cell r="AE41">
            <v>9</v>
          </cell>
          <cell r="AF41">
            <v>9</v>
          </cell>
          <cell r="AG41">
            <v>9</v>
          </cell>
          <cell r="AH41">
            <v>12</v>
          </cell>
        </row>
        <row r="42">
          <cell r="AE42">
            <v>9</v>
          </cell>
          <cell r="AF42">
            <v>9</v>
          </cell>
          <cell r="AG42">
            <v>9</v>
          </cell>
          <cell r="AH42">
            <v>18</v>
          </cell>
        </row>
        <row r="43">
          <cell r="AE43">
            <v>9</v>
          </cell>
          <cell r="AF43">
            <v>9</v>
          </cell>
          <cell r="AG43">
            <v>12</v>
          </cell>
          <cell r="AH43">
            <v>12</v>
          </cell>
        </row>
        <row r="44">
          <cell r="AE44">
            <v>9</v>
          </cell>
          <cell r="AF44">
            <v>9</v>
          </cell>
          <cell r="AG44">
            <v>12</v>
          </cell>
          <cell r="AH44">
            <v>18</v>
          </cell>
        </row>
        <row r="45">
          <cell r="AE45">
            <v>9</v>
          </cell>
          <cell r="AF45">
            <v>12</v>
          </cell>
          <cell r="AG45">
            <v>12</v>
          </cell>
          <cell r="AH45">
            <v>12</v>
          </cell>
        </row>
        <row r="46">
          <cell r="AE46">
            <v>12</v>
          </cell>
          <cell r="AF46">
            <v>12</v>
          </cell>
          <cell r="AG46">
            <v>12</v>
          </cell>
          <cell r="AH46">
            <v>12</v>
          </cell>
        </row>
        <row r="48">
          <cell r="AE48">
            <v>9</v>
          </cell>
          <cell r="AF48">
            <v>18</v>
          </cell>
        </row>
        <row r="49">
          <cell r="AE49">
            <v>9</v>
          </cell>
          <cell r="AF49">
            <v>24</v>
          </cell>
        </row>
        <row r="50">
          <cell r="AE50">
            <v>12</v>
          </cell>
          <cell r="AF50">
            <v>12</v>
          </cell>
        </row>
        <row r="51">
          <cell r="AE51">
            <v>12</v>
          </cell>
          <cell r="AF51">
            <v>18</v>
          </cell>
        </row>
        <row r="52">
          <cell r="AE52">
            <v>12</v>
          </cell>
          <cell r="AF52">
            <v>24</v>
          </cell>
        </row>
        <row r="53">
          <cell r="AE53">
            <v>18</v>
          </cell>
          <cell r="AF53">
            <v>18</v>
          </cell>
        </row>
        <row r="54">
          <cell r="AE54">
            <v>18</v>
          </cell>
          <cell r="AF54">
            <v>24</v>
          </cell>
        </row>
        <row r="55">
          <cell r="AE55">
            <v>24</v>
          </cell>
          <cell r="AF55">
            <v>24</v>
          </cell>
        </row>
        <row r="56">
          <cell r="AE56">
            <v>9</v>
          </cell>
          <cell r="AF56">
            <v>9</v>
          </cell>
          <cell r="AG56">
            <v>9</v>
          </cell>
        </row>
        <row r="57">
          <cell r="AE57">
            <v>9</v>
          </cell>
          <cell r="AF57">
            <v>9</v>
          </cell>
          <cell r="AG57">
            <v>12</v>
          </cell>
        </row>
        <row r="58">
          <cell r="AE58">
            <v>9</v>
          </cell>
          <cell r="AF58">
            <v>9</v>
          </cell>
          <cell r="AG58">
            <v>18</v>
          </cell>
        </row>
        <row r="59">
          <cell r="AE59">
            <v>9</v>
          </cell>
          <cell r="AF59">
            <v>9</v>
          </cell>
          <cell r="AG59">
            <v>24</v>
          </cell>
        </row>
        <row r="60">
          <cell r="AE60">
            <v>9</v>
          </cell>
          <cell r="AF60">
            <v>12</v>
          </cell>
          <cell r="AG60">
            <v>12</v>
          </cell>
        </row>
        <row r="61">
          <cell r="AE61">
            <v>9</v>
          </cell>
          <cell r="AF61">
            <v>12</v>
          </cell>
          <cell r="AG61">
            <v>18</v>
          </cell>
        </row>
        <row r="62">
          <cell r="AE62">
            <v>9</v>
          </cell>
          <cell r="AF62">
            <v>12</v>
          </cell>
          <cell r="AG62">
            <v>24</v>
          </cell>
        </row>
        <row r="63">
          <cell r="AE63">
            <v>9</v>
          </cell>
          <cell r="AF63">
            <v>18</v>
          </cell>
          <cell r="AG63">
            <v>18</v>
          </cell>
        </row>
        <row r="64">
          <cell r="AE64">
            <v>9</v>
          </cell>
          <cell r="AF64">
            <v>18</v>
          </cell>
          <cell r="AG64">
            <v>24</v>
          </cell>
        </row>
        <row r="65">
          <cell r="AE65">
            <v>9</v>
          </cell>
          <cell r="AF65">
            <v>24</v>
          </cell>
          <cell r="AG65">
            <v>24</v>
          </cell>
        </row>
        <row r="66">
          <cell r="AE66">
            <v>12</v>
          </cell>
          <cell r="AF66">
            <v>12</v>
          </cell>
          <cell r="AG66">
            <v>12</v>
          </cell>
        </row>
        <row r="67">
          <cell r="AE67">
            <v>12</v>
          </cell>
          <cell r="AF67">
            <v>12</v>
          </cell>
          <cell r="AG67">
            <v>18</v>
          </cell>
        </row>
        <row r="68">
          <cell r="AE68">
            <v>12</v>
          </cell>
          <cell r="AF68">
            <v>12</v>
          </cell>
          <cell r="AG68">
            <v>24</v>
          </cell>
        </row>
        <row r="69">
          <cell r="AE69">
            <v>12</v>
          </cell>
          <cell r="AF69">
            <v>18</v>
          </cell>
          <cell r="AG69">
            <v>18</v>
          </cell>
        </row>
        <row r="70">
          <cell r="AE70">
            <v>12</v>
          </cell>
          <cell r="AF70">
            <v>18</v>
          </cell>
          <cell r="AG70">
            <v>24</v>
          </cell>
        </row>
        <row r="71">
          <cell r="AE71">
            <v>12</v>
          </cell>
          <cell r="AF71">
            <v>24</v>
          </cell>
          <cell r="AG71">
            <v>24</v>
          </cell>
        </row>
        <row r="72">
          <cell r="AE72">
            <v>18</v>
          </cell>
          <cell r="AF72">
            <v>18</v>
          </cell>
          <cell r="AG72">
            <v>18</v>
          </cell>
        </row>
        <row r="73">
          <cell r="AE73">
            <v>18</v>
          </cell>
          <cell r="AF73">
            <v>18</v>
          </cell>
          <cell r="AG73">
            <v>24</v>
          </cell>
        </row>
        <row r="74">
          <cell r="AE74">
            <v>9</v>
          </cell>
          <cell r="AF74">
            <v>9</v>
          </cell>
          <cell r="AG74">
            <v>9</v>
          </cell>
          <cell r="AH74">
            <v>9</v>
          </cell>
        </row>
        <row r="75">
          <cell r="AE75">
            <v>9</v>
          </cell>
          <cell r="AF75">
            <v>9</v>
          </cell>
          <cell r="AG75">
            <v>9</v>
          </cell>
          <cell r="AH75">
            <v>12</v>
          </cell>
        </row>
        <row r="76">
          <cell r="AE76">
            <v>9</v>
          </cell>
          <cell r="AF76">
            <v>9</v>
          </cell>
          <cell r="AG76">
            <v>9</v>
          </cell>
          <cell r="AH76">
            <v>18</v>
          </cell>
        </row>
        <row r="77">
          <cell r="AE77">
            <v>9</v>
          </cell>
          <cell r="AF77">
            <v>9</v>
          </cell>
          <cell r="AG77">
            <v>9</v>
          </cell>
          <cell r="AH77">
            <v>24</v>
          </cell>
        </row>
        <row r="78">
          <cell r="AE78">
            <v>9</v>
          </cell>
          <cell r="AF78">
            <v>9</v>
          </cell>
          <cell r="AG78">
            <v>12</v>
          </cell>
          <cell r="AH78">
            <v>12</v>
          </cell>
        </row>
        <row r="79">
          <cell r="AE79">
            <v>9</v>
          </cell>
          <cell r="AF79">
            <v>9</v>
          </cell>
          <cell r="AG79">
            <v>12</v>
          </cell>
          <cell r="AH79">
            <v>18</v>
          </cell>
        </row>
        <row r="80">
          <cell r="AE80">
            <v>9</v>
          </cell>
          <cell r="AF80">
            <v>9</v>
          </cell>
          <cell r="AG80">
            <v>12</v>
          </cell>
          <cell r="AH80">
            <v>24</v>
          </cell>
        </row>
        <row r="81">
          <cell r="AE81">
            <v>9</v>
          </cell>
          <cell r="AF81">
            <v>9</v>
          </cell>
          <cell r="AG81">
            <v>18</v>
          </cell>
          <cell r="AH81">
            <v>18</v>
          </cell>
        </row>
        <row r="82">
          <cell r="AE82">
            <v>9</v>
          </cell>
          <cell r="AF82">
            <v>9</v>
          </cell>
          <cell r="AG82">
            <v>18</v>
          </cell>
          <cell r="AH82">
            <v>24</v>
          </cell>
        </row>
        <row r="83">
          <cell r="AE83">
            <v>9</v>
          </cell>
          <cell r="AF83">
            <v>12</v>
          </cell>
          <cell r="AG83">
            <v>12</v>
          </cell>
          <cell r="AH83">
            <v>12</v>
          </cell>
        </row>
        <row r="84">
          <cell r="AE84">
            <v>9</v>
          </cell>
          <cell r="AF84">
            <v>12</v>
          </cell>
          <cell r="AG84">
            <v>12</v>
          </cell>
          <cell r="AH84">
            <v>18</v>
          </cell>
        </row>
        <row r="85">
          <cell r="AE85">
            <v>9</v>
          </cell>
          <cell r="AF85">
            <v>12</v>
          </cell>
          <cell r="AG85">
            <v>12</v>
          </cell>
          <cell r="AH85">
            <v>24</v>
          </cell>
        </row>
        <row r="86">
          <cell r="AE86">
            <v>9</v>
          </cell>
          <cell r="AF86">
            <v>12</v>
          </cell>
          <cell r="AG86">
            <v>18</v>
          </cell>
          <cell r="AH86">
            <v>18</v>
          </cell>
        </row>
        <row r="87">
          <cell r="AE87">
            <v>9</v>
          </cell>
          <cell r="AF87">
            <v>18</v>
          </cell>
          <cell r="AG87">
            <v>18</v>
          </cell>
          <cell r="AH87">
            <v>18</v>
          </cell>
        </row>
        <row r="88">
          <cell r="AE88">
            <v>12</v>
          </cell>
          <cell r="AF88">
            <v>12</v>
          </cell>
          <cell r="AG88">
            <v>12</v>
          </cell>
          <cell r="AH88">
            <v>12</v>
          </cell>
        </row>
        <row r="89">
          <cell r="AE89">
            <v>12</v>
          </cell>
          <cell r="AF89">
            <v>12</v>
          </cell>
          <cell r="AG89">
            <v>12</v>
          </cell>
          <cell r="AH89">
            <v>18</v>
          </cell>
        </row>
        <row r="90">
          <cell r="AE90">
            <v>12</v>
          </cell>
          <cell r="AF90">
            <v>12</v>
          </cell>
          <cell r="AG90">
            <v>12</v>
          </cell>
          <cell r="AH90">
            <v>24</v>
          </cell>
        </row>
        <row r="91">
          <cell r="AE91">
            <v>12</v>
          </cell>
          <cell r="AF91">
            <v>12</v>
          </cell>
          <cell r="AG91">
            <v>18</v>
          </cell>
          <cell r="AH91">
            <v>18</v>
          </cell>
        </row>
        <row r="93">
          <cell r="AE93">
            <v>9</v>
          </cell>
          <cell r="AF93">
            <v>18</v>
          </cell>
        </row>
        <row r="94">
          <cell r="AE94">
            <v>9</v>
          </cell>
          <cell r="AF94">
            <v>24</v>
          </cell>
        </row>
        <row r="95">
          <cell r="AE95">
            <v>12</v>
          </cell>
          <cell r="AF95">
            <v>12</v>
          </cell>
        </row>
        <row r="96">
          <cell r="AE96">
            <v>12</v>
          </cell>
          <cell r="AF96">
            <v>18</v>
          </cell>
        </row>
        <row r="97">
          <cell r="AE97">
            <v>12</v>
          </cell>
          <cell r="AF97">
            <v>24</v>
          </cell>
        </row>
        <row r="98">
          <cell r="AE98">
            <v>18</v>
          </cell>
          <cell r="AF98">
            <v>18</v>
          </cell>
        </row>
        <row r="99">
          <cell r="AE99">
            <v>18</v>
          </cell>
          <cell r="AF99">
            <v>24</v>
          </cell>
        </row>
        <row r="100">
          <cell r="AE100">
            <v>24</v>
          </cell>
          <cell r="AF100">
            <v>24</v>
          </cell>
        </row>
        <row r="101">
          <cell r="AE101">
            <v>9</v>
          </cell>
          <cell r="AF101">
            <v>9</v>
          </cell>
          <cell r="AG101">
            <v>9</v>
          </cell>
        </row>
        <row r="102">
          <cell r="AE102">
            <v>9</v>
          </cell>
          <cell r="AF102">
            <v>9</v>
          </cell>
          <cell r="AG102">
            <v>12</v>
          </cell>
        </row>
        <row r="103">
          <cell r="AE103">
            <v>9</v>
          </cell>
          <cell r="AF103">
            <v>9</v>
          </cell>
          <cell r="AG103">
            <v>18</v>
          </cell>
        </row>
        <row r="104">
          <cell r="AE104">
            <v>9</v>
          </cell>
          <cell r="AF104">
            <v>9</v>
          </cell>
          <cell r="AG104">
            <v>24</v>
          </cell>
        </row>
        <row r="105">
          <cell r="AE105">
            <v>9</v>
          </cell>
          <cell r="AF105">
            <v>12</v>
          </cell>
          <cell r="AG105">
            <v>12</v>
          </cell>
        </row>
        <row r="106">
          <cell r="AE106">
            <v>9</v>
          </cell>
          <cell r="AF106">
            <v>12</v>
          </cell>
          <cell r="AG106">
            <v>18</v>
          </cell>
        </row>
        <row r="107">
          <cell r="AE107">
            <v>9</v>
          </cell>
          <cell r="AF107">
            <v>12</v>
          </cell>
          <cell r="AG107">
            <v>24</v>
          </cell>
        </row>
        <row r="108">
          <cell r="AE108">
            <v>9</v>
          </cell>
          <cell r="AF108">
            <v>18</v>
          </cell>
          <cell r="AG108">
            <v>18</v>
          </cell>
        </row>
        <row r="109">
          <cell r="AE109">
            <v>9</v>
          </cell>
          <cell r="AF109">
            <v>18</v>
          </cell>
          <cell r="AG109">
            <v>24</v>
          </cell>
        </row>
        <row r="110">
          <cell r="AE110">
            <v>9</v>
          </cell>
          <cell r="AF110">
            <v>24</v>
          </cell>
          <cell r="AG110">
            <v>24</v>
          </cell>
        </row>
        <row r="111">
          <cell r="AE111">
            <v>12</v>
          </cell>
          <cell r="AF111">
            <v>12</v>
          </cell>
          <cell r="AG111">
            <v>12</v>
          </cell>
        </row>
        <row r="112">
          <cell r="AE112">
            <v>12</v>
          </cell>
          <cell r="AF112">
            <v>12</v>
          </cell>
          <cell r="AG112">
            <v>18</v>
          </cell>
        </row>
        <row r="113">
          <cell r="AE113">
            <v>12</v>
          </cell>
          <cell r="AF113">
            <v>12</v>
          </cell>
          <cell r="AG113">
            <v>24</v>
          </cell>
        </row>
        <row r="114">
          <cell r="AE114">
            <v>12</v>
          </cell>
          <cell r="AF114">
            <v>18</v>
          </cell>
          <cell r="AG114">
            <v>18</v>
          </cell>
        </row>
        <row r="115">
          <cell r="AE115">
            <v>12</v>
          </cell>
          <cell r="AF115">
            <v>18</v>
          </cell>
          <cell r="AG115">
            <v>24</v>
          </cell>
        </row>
        <row r="116">
          <cell r="AE116">
            <v>12</v>
          </cell>
          <cell r="AF116">
            <v>24</v>
          </cell>
          <cell r="AG116">
            <v>24</v>
          </cell>
        </row>
        <row r="117">
          <cell r="AE117">
            <v>18</v>
          </cell>
          <cell r="AF117">
            <v>18</v>
          </cell>
          <cell r="AG117">
            <v>18</v>
          </cell>
        </row>
        <row r="118">
          <cell r="AE118">
            <v>18</v>
          </cell>
          <cell r="AF118">
            <v>18</v>
          </cell>
          <cell r="AG118">
            <v>24</v>
          </cell>
        </row>
        <row r="119">
          <cell r="AE119">
            <v>9</v>
          </cell>
          <cell r="AF119">
            <v>9</v>
          </cell>
          <cell r="AG119">
            <v>9</v>
          </cell>
          <cell r="AH119">
            <v>9</v>
          </cell>
        </row>
        <row r="120">
          <cell r="AE120">
            <v>9</v>
          </cell>
          <cell r="AF120">
            <v>9</v>
          </cell>
          <cell r="AG120">
            <v>9</v>
          </cell>
          <cell r="AH120">
            <v>12</v>
          </cell>
        </row>
        <row r="121">
          <cell r="AE121">
            <v>9</v>
          </cell>
          <cell r="AF121">
            <v>9</v>
          </cell>
          <cell r="AG121">
            <v>9</v>
          </cell>
          <cell r="AH121">
            <v>18</v>
          </cell>
        </row>
        <row r="122">
          <cell r="AE122">
            <v>9</v>
          </cell>
          <cell r="AF122">
            <v>9</v>
          </cell>
          <cell r="AG122">
            <v>9</v>
          </cell>
          <cell r="AH122">
            <v>24</v>
          </cell>
        </row>
        <row r="123">
          <cell r="AE123">
            <v>9</v>
          </cell>
          <cell r="AF123">
            <v>9</v>
          </cell>
          <cell r="AG123">
            <v>12</v>
          </cell>
          <cell r="AH123">
            <v>12</v>
          </cell>
        </row>
        <row r="124">
          <cell r="AE124">
            <v>9</v>
          </cell>
          <cell r="AF124">
            <v>9</v>
          </cell>
          <cell r="AG124">
            <v>12</v>
          </cell>
          <cell r="AH124">
            <v>18</v>
          </cell>
        </row>
        <row r="125">
          <cell r="AE125">
            <v>9</v>
          </cell>
          <cell r="AF125">
            <v>9</v>
          </cell>
          <cell r="AG125">
            <v>12</v>
          </cell>
          <cell r="AH125">
            <v>24</v>
          </cell>
        </row>
        <row r="126">
          <cell r="AE126">
            <v>9</v>
          </cell>
          <cell r="AF126">
            <v>9</v>
          </cell>
          <cell r="AG126">
            <v>18</v>
          </cell>
          <cell r="AH126">
            <v>18</v>
          </cell>
        </row>
        <row r="127">
          <cell r="AE127">
            <v>9</v>
          </cell>
          <cell r="AF127">
            <v>9</v>
          </cell>
          <cell r="AG127">
            <v>18</v>
          </cell>
          <cell r="AH127">
            <v>24</v>
          </cell>
        </row>
        <row r="128">
          <cell r="AE128">
            <v>9</v>
          </cell>
          <cell r="AF128">
            <v>12</v>
          </cell>
          <cell r="AG128">
            <v>12</v>
          </cell>
          <cell r="AH128">
            <v>12</v>
          </cell>
        </row>
        <row r="129">
          <cell r="AE129">
            <v>9</v>
          </cell>
          <cell r="AF129">
            <v>12</v>
          </cell>
          <cell r="AG129">
            <v>12</v>
          </cell>
          <cell r="AH129">
            <v>18</v>
          </cell>
        </row>
        <row r="130">
          <cell r="AE130">
            <v>9</v>
          </cell>
          <cell r="AF130">
            <v>12</v>
          </cell>
          <cell r="AG130">
            <v>12</v>
          </cell>
          <cell r="AH130">
            <v>24</v>
          </cell>
        </row>
        <row r="131">
          <cell r="AE131">
            <v>9</v>
          </cell>
          <cell r="AF131">
            <v>12</v>
          </cell>
          <cell r="AG131">
            <v>18</v>
          </cell>
          <cell r="AH131">
            <v>18</v>
          </cell>
        </row>
        <row r="132">
          <cell r="AE132">
            <v>9</v>
          </cell>
          <cell r="AF132">
            <v>18</v>
          </cell>
          <cell r="AG132">
            <v>18</v>
          </cell>
          <cell r="AH132">
            <v>18</v>
          </cell>
        </row>
        <row r="133">
          <cell r="AE133">
            <v>12</v>
          </cell>
          <cell r="AF133">
            <v>12</v>
          </cell>
          <cell r="AG133">
            <v>12</v>
          </cell>
          <cell r="AH133">
            <v>12</v>
          </cell>
        </row>
        <row r="134">
          <cell r="AE134">
            <v>12</v>
          </cell>
          <cell r="AF134">
            <v>12</v>
          </cell>
          <cell r="AG134">
            <v>12</v>
          </cell>
          <cell r="AH134">
            <v>18</v>
          </cell>
        </row>
        <row r="135">
          <cell r="AE135">
            <v>12</v>
          </cell>
          <cell r="AF135">
            <v>12</v>
          </cell>
          <cell r="AG135">
            <v>12</v>
          </cell>
          <cell r="AH135">
            <v>24</v>
          </cell>
        </row>
        <row r="136">
          <cell r="AE136">
            <v>12</v>
          </cell>
          <cell r="AF136">
            <v>12</v>
          </cell>
          <cell r="AG136">
            <v>18</v>
          </cell>
          <cell r="AH136">
            <v>18</v>
          </cell>
        </row>
        <row r="137">
          <cell r="AE137">
            <v>9</v>
          </cell>
          <cell r="AF137">
            <v>9</v>
          </cell>
          <cell r="AG137">
            <v>9</v>
          </cell>
          <cell r="AH137">
            <v>9</v>
          </cell>
          <cell r="AI137">
            <v>9</v>
          </cell>
        </row>
        <row r="138">
          <cell r="AE138">
            <v>9</v>
          </cell>
          <cell r="AF138">
            <v>9</v>
          </cell>
          <cell r="AG138">
            <v>9</v>
          </cell>
          <cell r="AH138">
            <v>9</v>
          </cell>
          <cell r="AI138">
            <v>12</v>
          </cell>
        </row>
        <row r="139">
          <cell r="AE139">
            <v>9</v>
          </cell>
          <cell r="AF139">
            <v>9</v>
          </cell>
          <cell r="AG139">
            <v>9</v>
          </cell>
          <cell r="AH139">
            <v>9</v>
          </cell>
          <cell r="AI139">
            <v>18</v>
          </cell>
        </row>
        <row r="140">
          <cell r="AE140">
            <v>9</v>
          </cell>
          <cell r="AF140">
            <v>9</v>
          </cell>
          <cell r="AG140">
            <v>9</v>
          </cell>
          <cell r="AH140">
            <v>9</v>
          </cell>
          <cell r="AI140">
            <v>24</v>
          </cell>
        </row>
        <row r="141">
          <cell r="AE141">
            <v>9</v>
          </cell>
          <cell r="AF141">
            <v>9</v>
          </cell>
          <cell r="AG141">
            <v>9</v>
          </cell>
          <cell r="AH141">
            <v>12</v>
          </cell>
          <cell r="AI141">
            <v>12</v>
          </cell>
        </row>
        <row r="142">
          <cell r="AE142">
            <v>9</v>
          </cell>
          <cell r="AF142">
            <v>9</v>
          </cell>
          <cell r="AG142">
            <v>9</v>
          </cell>
          <cell r="AH142">
            <v>12</v>
          </cell>
          <cell r="AI142">
            <v>18</v>
          </cell>
        </row>
        <row r="143">
          <cell r="AE143">
            <v>9</v>
          </cell>
          <cell r="AF143">
            <v>9</v>
          </cell>
          <cell r="AG143">
            <v>9</v>
          </cell>
          <cell r="AH143">
            <v>18</v>
          </cell>
          <cell r="AI143">
            <v>18</v>
          </cell>
        </row>
        <row r="144">
          <cell r="AE144">
            <v>9</v>
          </cell>
          <cell r="AF144">
            <v>9</v>
          </cell>
          <cell r="AG144">
            <v>12</v>
          </cell>
          <cell r="AH144">
            <v>12</v>
          </cell>
          <cell r="AI144">
            <v>12</v>
          </cell>
        </row>
        <row r="145">
          <cell r="AE145">
            <v>9</v>
          </cell>
          <cell r="AF145">
            <v>9</v>
          </cell>
          <cell r="AG145">
            <v>12</v>
          </cell>
          <cell r="AH145">
            <v>12</v>
          </cell>
          <cell r="AI145">
            <v>18</v>
          </cell>
        </row>
        <row r="146">
          <cell r="AE146">
            <v>9</v>
          </cell>
          <cell r="AF146">
            <v>12</v>
          </cell>
          <cell r="AG146">
            <v>12</v>
          </cell>
          <cell r="AH146">
            <v>12</v>
          </cell>
          <cell r="AI146">
            <v>12</v>
          </cell>
        </row>
        <row r="147">
          <cell r="AE147">
            <v>9</v>
          </cell>
          <cell r="AF147">
            <v>12</v>
          </cell>
          <cell r="AG147">
            <v>12</v>
          </cell>
          <cell r="AH147">
            <v>12</v>
          </cell>
          <cell r="AI147">
            <v>18</v>
          </cell>
        </row>
        <row r="148">
          <cell r="AE148">
            <v>12</v>
          </cell>
          <cell r="AF148">
            <v>12</v>
          </cell>
          <cell r="AG148">
            <v>12</v>
          </cell>
          <cell r="AH148">
            <v>12</v>
          </cell>
          <cell r="AI148">
            <v>12</v>
          </cell>
        </row>
      </sheetData>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BRAND"/>
      <sheetName val="Ductless"/>
      <sheetName val="Product Line Up"/>
      <sheetName val="Table of Contents"/>
      <sheetName val="Features"/>
      <sheetName val="Controls"/>
      <sheetName val="38MPRA Outdoor Unit"/>
      <sheetName val="38MPRA Outdoor Single High"/>
      <sheetName val="40MPHA High Wall "/>
      <sheetName val="40MPHA High Wall Specs "/>
      <sheetName val="38MAR Outdoor Unit"/>
      <sheetName val="38MA-R Outdoor Single Mid Tier"/>
      <sheetName val="40MAQ High Wall"/>
      <sheetName val="40MAQ High Wall Specs"/>
      <sheetName val="40MBCQ Cassette"/>
      <sheetName val="40MBCQ Cassette Specs"/>
      <sheetName val="40MBDQ Ducted"/>
      <sheetName val="40MBDQ Ducted Specs"/>
      <sheetName val="40MBFQ Console"/>
      <sheetName val="40MBFQ Floor Console Specs"/>
      <sheetName val="40MBAA Air Handler"/>
      <sheetName val="40MBAA Air Handler Specs"/>
      <sheetName val="38MHRB Outdoor Entry"/>
      <sheetName val="38MHRB Outdoor Entry Specs"/>
      <sheetName val="40MHH High Wall"/>
      <sheetName val="40MHH High Wall Entry Specs"/>
      <sheetName val="38MGR"/>
      <sheetName val="38MGR ODU Multi-zone Mid Tier"/>
      <sheetName val="38MGR Multizone Mid Combination"/>
      <sheetName val="RAV-AT Outdoor Unit"/>
      <sheetName val="RAV-AT Outdoor Specs"/>
      <sheetName val="RAV-KRT High Wall"/>
      <sheetName val="RAV-KRT High Wall Specs"/>
      <sheetName val="RAV-UT Cassette"/>
      <sheetName val="RAV-UT Cassette Specs"/>
      <sheetName val="RAV-BT Ducted"/>
      <sheetName val="RAV-BT Ducted Specs"/>
      <sheetName val="RAV-CT Underceiling"/>
      <sheetName val="RAV-CT Underceiling Specs"/>
      <sheetName val="38MBR Outdoor"/>
      <sheetName val="38MBR Outdoor Specs"/>
      <sheetName val="38MBRB Outdoor"/>
      <sheetName val="38MBRB Outdoor Specs"/>
      <sheetName val="40MBCQ Cassette 36-48"/>
      <sheetName val="40MBCQ Cassette 36-48 Specs"/>
      <sheetName val="40MBDQ Ducted 36-58"/>
      <sheetName val="40MBDQ Ducted 36-58 Specs"/>
      <sheetName val="40MBFQ Console 36-58"/>
      <sheetName val="40MBFQ Console 36-58 Specs"/>
      <sheetName val="40MBAA Air Handler 36-48"/>
      <sheetName val="40MBAA Air Handler Specs 36-48"/>
      <sheetName val="24AHA-25HHA Outdoor"/>
      <sheetName val="24AHA-25HHA Outdoor Specs"/>
      <sheetName val="24V Interface"/>
      <sheetName val="Compati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D5" t="str">
            <v>38MGRQ18B--3</v>
          </cell>
          <cell r="E5" t="str">
            <v>38MGRQ24C--3</v>
          </cell>
          <cell r="F5" t="str">
            <v>38MGRQ30D--3</v>
          </cell>
          <cell r="G5" t="str">
            <v>38MGRQ36D--3</v>
          </cell>
          <cell r="H5" t="str">
            <v>38MGRQ48E--3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file:///\\cusiif05.carrier.utc.com\Secured\Marketing\DLS-VRF\Software\Carrier%20TCB%20Software%20Issues\Old-DNU\855%20MGR%20Caps%20Cosolidated\855%20MGR%20Caps%2011-6-18update\Altitude%20function%20of%20ST.pptx"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76"/>
  <sheetViews>
    <sheetView showGridLines="0" tabSelected="1" zoomScale="85" zoomScaleNormal="85" workbookViewId="0"/>
  </sheetViews>
  <sheetFormatPr defaultColWidth="9.109375" defaultRowHeight="13.8"/>
  <cols>
    <col min="1" max="2" width="3.6640625" style="308" customWidth="1"/>
    <col min="3" max="3" width="2.88671875" style="308" customWidth="1"/>
    <col min="4" max="4" width="3.88671875" style="308" customWidth="1"/>
    <col min="5" max="5" width="29.44140625" style="308" bestFit="1" customWidth="1"/>
    <col min="6" max="6" width="16" style="308" customWidth="1"/>
    <col min="7" max="7" width="15.44140625" style="308" customWidth="1"/>
    <col min="8" max="8" width="15.6640625" style="308" bestFit="1" customWidth="1"/>
    <col min="9" max="9" width="19.109375" style="308" bestFit="1" customWidth="1"/>
    <col min="10" max="10" width="19.33203125" style="308" bestFit="1" customWidth="1"/>
    <col min="11" max="11" width="22.6640625" style="308" bestFit="1" customWidth="1"/>
    <col min="12" max="12" width="22.88671875" style="308" bestFit="1" customWidth="1"/>
    <col min="13" max="13" width="23.33203125" style="308" customWidth="1"/>
    <col min="14" max="14" width="17.109375" style="308" customWidth="1"/>
    <col min="15" max="15" width="19.109375" style="308" bestFit="1" customWidth="1"/>
    <col min="16" max="16" width="4" style="308" customWidth="1"/>
    <col min="17" max="17" width="3.5546875" style="308" customWidth="1"/>
    <col min="18" max="20" width="9.109375" style="308"/>
    <col min="21" max="21" width="26.44140625" style="308" customWidth="1"/>
    <col min="22" max="16384" width="9.109375" style="308"/>
  </cols>
  <sheetData>
    <row r="3" spans="2:17" ht="25.8">
      <c r="B3" s="306"/>
      <c r="C3" s="306"/>
      <c r="D3" s="446" t="s">
        <v>351</v>
      </c>
      <c r="E3" s="446"/>
      <c r="F3" s="446"/>
      <c r="G3" s="446"/>
      <c r="H3" s="446"/>
      <c r="I3" s="446"/>
      <c r="J3" s="446"/>
      <c r="K3" s="446"/>
      <c r="L3" s="446"/>
      <c r="M3" s="446"/>
      <c r="N3" s="446"/>
      <c r="O3" s="446"/>
      <c r="P3" s="306"/>
      <c r="Q3" s="307"/>
    </row>
    <row r="4" spans="2:17" ht="14.4" thickBot="1">
      <c r="B4" s="309"/>
      <c r="Q4" s="309"/>
    </row>
    <row r="5" spans="2:17" ht="14.4" thickBot="1">
      <c r="B5" s="309"/>
      <c r="E5" s="447" t="s">
        <v>77</v>
      </c>
      <c r="F5" s="448"/>
      <c r="G5" s="449"/>
      <c r="H5" s="450"/>
      <c r="M5" s="435" t="s">
        <v>79</v>
      </c>
      <c r="N5" s="436"/>
      <c r="O5" s="437"/>
      <c r="Q5" s="309"/>
    </row>
    <row r="6" spans="2:17">
      <c r="B6" s="309"/>
      <c r="E6" s="310" t="s">
        <v>125</v>
      </c>
      <c r="F6" s="453">
        <v>24</v>
      </c>
      <c r="G6" s="454"/>
      <c r="H6" s="455"/>
      <c r="M6" s="311" t="s">
        <v>9</v>
      </c>
      <c r="N6" s="362" t="s">
        <v>321</v>
      </c>
      <c r="O6" s="363" t="s">
        <v>322</v>
      </c>
      <c r="Q6" s="309"/>
    </row>
    <row r="7" spans="2:17">
      <c r="B7" s="309"/>
      <c r="E7" s="312" t="s">
        <v>127</v>
      </c>
      <c r="F7" s="456" t="str">
        <f>INDEX(Calculations!O6:O10,(MATCH(F6,Calculations!N6:N10)))</f>
        <v>38MGRQ24C--3</v>
      </c>
      <c r="G7" s="457"/>
      <c r="H7" s="458"/>
      <c r="M7" s="313" t="str">
        <f>IF(H29="","",H29)</f>
        <v>40MAQB09B--3</v>
      </c>
      <c r="N7" s="314">
        <f>IFERROR(VLOOKUP($M7,Calculations!$Y$66:$AA$99,2,FALSE),"")</f>
        <v>0.25</v>
      </c>
      <c r="O7" s="315">
        <f>IFERROR(VLOOKUP($M7,Calculations!$Y$66:$AA$99,3,FALSE),"")</f>
        <v>0.375</v>
      </c>
      <c r="Q7" s="309"/>
    </row>
    <row r="8" spans="2:17">
      <c r="B8" s="309"/>
      <c r="E8" s="312" t="s">
        <v>81</v>
      </c>
      <c r="F8" s="459" t="str">
        <f>Calculations!Y20</f>
        <v>Non-Ducted Indoor Units</v>
      </c>
      <c r="G8" s="460"/>
      <c r="H8" s="461"/>
      <c r="M8" s="316" t="str">
        <f>IF(H30="","",H30)</f>
        <v>40MHHQ09---3</v>
      </c>
      <c r="N8" s="317">
        <f>IFERROR(VLOOKUP($M8,Calculations!$Y$66:$AA$99,2,FALSE),"")</f>
        <v>0.25</v>
      </c>
      <c r="O8" s="318">
        <f>IFERROR(VLOOKUP($M8,Calculations!$Y$66:$AA$99,3,FALSE),"")</f>
        <v>0.375</v>
      </c>
      <c r="Q8" s="309"/>
    </row>
    <row r="9" spans="2:17">
      <c r="B9" s="309"/>
      <c r="E9" s="312" t="s">
        <v>255</v>
      </c>
      <c r="F9" s="465">
        <f>IF($F$8="Non-Ducted Indoor Units",(VLOOKUP('Multizone Sizing Tool'!F6,Calculations!N6:W10,4,FALSE)),
IF($F$8="Mixed Ducted and Non-Ducted Indoor Units",(VLOOKUP('Multizone Sizing Tool'!F6,Calculations!N6:W10,7,FALSE)),
VLOOKUP('Multizone Sizing Tool'!F6,Calculations!N6:W10,9,FALSE)))</f>
        <v>24</v>
      </c>
      <c r="G9" s="466"/>
      <c r="H9" s="467"/>
      <c r="M9" s="316" t="str">
        <f>IF(H31="","",H31)</f>
        <v/>
      </c>
      <c r="N9" s="317" t="str">
        <f>IFERROR(VLOOKUP($M9,Calculations!$Y$66:$AA$99,2,FALSE),"")</f>
        <v/>
      </c>
      <c r="O9" s="318" t="str">
        <f>IFERROR(VLOOKUP($M9,Calculations!$Y$66:$AA$99,3,FALSE),"")</f>
        <v/>
      </c>
      <c r="Q9" s="309"/>
    </row>
    <row r="10" spans="2:17">
      <c r="B10" s="309"/>
      <c r="E10" s="312" t="s">
        <v>256</v>
      </c>
      <c r="F10" s="465">
        <f>IF($F$8="Non-Ducted Indoor Units",(VLOOKUP('Multizone Sizing Tool'!F6,Calculations!N6:W10,5,FALSE)),
IF($F$8="Mixed Ducted and Non-Ducted Indoor Units",(VLOOKUP('Multizone Sizing Tool'!F6,Calculations!N6:W10,8,FALSE)),
VLOOKUP('Multizone Sizing Tool'!F6,Calculations!N6:W10,10,FALSE)))</f>
        <v>23</v>
      </c>
      <c r="G10" s="466"/>
      <c r="H10" s="467"/>
      <c r="M10" s="316" t="str">
        <f>IF(H32="","",H32)</f>
        <v/>
      </c>
      <c r="N10" s="317" t="str">
        <f>IFERROR(VLOOKUP($M10,Calculations!$Y$66:$AA$99,2,FALSE),"")</f>
        <v/>
      </c>
      <c r="O10" s="318" t="str">
        <f>IFERROR(VLOOKUP($M10,Calculations!$Y$66:$AA$99,3,FALSE),"")</f>
        <v/>
      </c>
      <c r="Q10" s="309"/>
    </row>
    <row r="11" spans="2:17">
      <c r="B11" s="309"/>
      <c r="E11" s="312" t="s">
        <v>285</v>
      </c>
      <c r="F11" s="459">
        <v>2</v>
      </c>
      <c r="G11" s="460"/>
      <c r="H11" s="461"/>
      <c r="M11" s="316" t="str">
        <f>IF(H33="","",H33)</f>
        <v/>
      </c>
      <c r="N11" s="317" t="str">
        <f>IFERROR(VLOOKUP($M11,Calculations!$Y$66:$AA$99,2,FALSE),"")</f>
        <v/>
      </c>
      <c r="O11" s="318" t="str">
        <f>IFERROR(VLOOKUP($M11,Calculations!$Y$66:$AA$99,3,FALSE),"")</f>
        <v/>
      </c>
      <c r="Q11" s="309"/>
    </row>
    <row r="12" spans="2:17" ht="14.4" thickBot="1">
      <c r="B12" s="309"/>
      <c r="E12" s="319" t="s">
        <v>286</v>
      </c>
      <c r="F12" s="462">
        <f>INDEX(Calculations!P6:P10,(MATCH(F7,Calculations!O6:O10)))</f>
        <v>3</v>
      </c>
      <c r="G12" s="463"/>
      <c r="H12" s="464"/>
      <c r="M12" s="451" t="s">
        <v>267</v>
      </c>
      <c r="N12" s="452"/>
      <c r="O12" s="320">
        <f>SUM(O29:O33)</f>
        <v>55</v>
      </c>
      <c r="Q12" s="309"/>
    </row>
    <row r="13" spans="2:17" ht="14.4" thickBot="1">
      <c r="B13" s="309"/>
      <c r="M13" s="417" t="s">
        <v>82</v>
      </c>
      <c r="N13" s="418"/>
      <c r="O13" s="358" t="str">
        <f>IF(O12-Calculations!AF11&gt;0,(O12-Calculations!AF11)*0.16,"No added charge")</f>
        <v>No added charge</v>
      </c>
      <c r="Q13" s="309"/>
    </row>
    <row r="14" spans="2:17" ht="14.4" thickBot="1">
      <c r="B14" s="309"/>
      <c r="H14" s="421" t="s">
        <v>123</v>
      </c>
      <c r="I14" s="422"/>
      <c r="Q14" s="309"/>
    </row>
    <row r="15" spans="2:17" ht="14.4" thickBot="1">
      <c r="B15" s="309"/>
      <c r="E15" s="435" t="s">
        <v>78</v>
      </c>
      <c r="F15" s="436"/>
      <c r="G15" s="321"/>
      <c r="H15" s="322" t="s">
        <v>1</v>
      </c>
      <c r="I15" s="323" t="s">
        <v>0</v>
      </c>
      <c r="Q15" s="309"/>
    </row>
    <row r="16" spans="2:17">
      <c r="B16" s="309"/>
      <c r="E16" s="324" t="s">
        <v>300</v>
      </c>
      <c r="F16" s="440">
        <v>95</v>
      </c>
      <c r="G16" s="441"/>
      <c r="H16" s="325">
        <f ca="1">'Piping Correction'!M43</f>
        <v>0.97588527188490604</v>
      </c>
      <c r="I16" s="326">
        <v>0</v>
      </c>
      <c r="L16" s="327"/>
      <c r="M16" s="327"/>
      <c r="N16" s="327"/>
      <c r="O16" s="327"/>
      <c r="Q16" s="309"/>
    </row>
    <row r="17" spans="2:17" ht="14.4" thickBot="1">
      <c r="B17" s="309"/>
      <c r="E17" s="328" t="s">
        <v>301</v>
      </c>
      <c r="F17" s="442">
        <v>45</v>
      </c>
      <c r="G17" s="443"/>
      <c r="H17" s="329">
        <v>0</v>
      </c>
      <c r="I17" s="330">
        <f ca="1">'Piping Correction'!M44</f>
        <v>0.98895952206778837</v>
      </c>
      <c r="L17" s="327"/>
      <c r="M17" s="327"/>
      <c r="N17" s="327"/>
      <c r="O17" s="327"/>
      <c r="Q17" s="309"/>
    </row>
    <row r="18" spans="2:17" ht="14.4" thickBot="1">
      <c r="B18" s="309"/>
      <c r="E18" s="331" t="s">
        <v>38</v>
      </c>
      <c r="F18" s="444">
        <v>1000</v>
      </c>
      <c r="G18" s="445"/>
      <c r="H18" s="332">
        <f ca="1">FORECAST('Multizone Sizing Tool'!F18,OFFSET('Altitude Correction'!D24:D34,MATCH('Multizone Sizing Tool'!F18,'Altitude Correction'!A24:A34,1)-1,0,2),OFFSET('Altitude Correction'!A24:A34,MATCH('Multizone Sizing Tool'!F18,'Altitude Correction'!A24:A34,1)-1,0,2))</f>
        <v>0.98009999999999997</v>
      </c>
      <c r="I18" s="333">
        <f ca="1">FORECAST('Multizone Sizing Tool'!F18,OFFSET('Altitude Correction'!D24:D34,MATCH('Multizone Sizing Tool'!F18,'Altitude Correction'!A24:A34,1)-1,0,2),OFFSET('Altitude Correction'!A24:A34,MATCH('Multizone Sizing Tool'!F18,'Altitude Correction'!A24:A34,1)-1,0,2))</f>
        <v>0.98009999999999997</v>
      </c>
      <c r="J18" s="433" t="s">
        <v>345</v>
      </c>
      <c r="K18" s="434"/>
      <c r="L18" s="434"/>
      <c r="M18" s="327"/>
      <c r="N18" s="327"/>
      <c r="O18" s="327"/>
      <c r="Q18" s="309"/>
    </row>
    <row r="19" spans="2:17" ht="14.4" thickBot="1">
      <c r="B19" s="309"/>
      <c r="E19" s="423" t="s">
        <v>92</v>
      </c>
      <c r="F19" s="424"/>
      <c r="G19" s="334"/>
      <c r="H19" s="332">
        <v>0</v>
      </c>
      <c r="I19" s="333">
        <f>Calculations!N14</f>
        <v>1</v>
      </c>
      <c r="J19" s="434"/>
      <c r="K19" s="434"/>
      <c r="L19" s="434"/>
      <c r="M19" s="435" t="s">
        <v>307</v>
      </c>
      <c r="N19" s="436"/>
      <c r="O19" s="437"/>
      <c r="Q19" s="309"/>
    </row>
    <row r="20" spans="2:17" ht="14.4" thickBot="1">
      <c r="B20" s="309"/>
      <c r="E20" s="423" t="s">
        <v>126</v>
      </c>
      <c r="F20" s="424"/>
      <c r="G20" s="335"/>
      <c r="H20" s="336">
        <f ca="1">H16*H18</f>
        <v>0.95646515497439633</v>
      </c>
      <c r="I20" s="337">
        <f ca="1">I17*I18*I19</f>
        <v>0.96927922757863938</v>
      </c>
      <c r="J20" s="434"/>
      <c r="K20" s="434"/>
      <c r="L20" s="434"/>
      <c r="M20" s="429" t="s">
        <v>298</v>
      </c>
      <c r="N20" s="430"/>
      <c r="O20" s="338">
        <v>10</v>
      </c>
      <c r="Q20" s="309"/>
    </row>
    <row r="21" spans="2:17" ht="14.4" thickBot="1">
      <c r="B21" s="309"/>
      <c r="J21" s="434"/>
      <c r="K21" s="434"/>
      <c r="L21" s="434"/>
      <c r="M21" s="431" t="s">
        <v>299</v>
      </c>
      <c r="N21" s="432"/>
      <c r="O21" s="339">
        <f>Calculations!AD11</f>
        <v>98</v>
      </c>
      <c r="Q21" s="309"/>
    </row>
    <row r="22" spans="2:17" ht="13.5" customHeight="1" thickBot="1">
      <c r="B22" s="309"/>
      <c r="E22" s="435" t="s">
        <v>323</v>
      </c>
      <c r="F22" s="436"/>
      <c r="G22" s="437"/>
      <c r="M22" s="431" t="s">
        <v>319</v>
      </c>
      <c r="N22" s="432"/>
      <c r="O22" s="339">
        <f>Calculations!AF11</f>
        <v>74</v>
      </c>
      <c r="Q22" s="309"/>
    </row>
    <row r="23" spans="2:17" ht="13.5" customHeight="1" thickBot="1">
      <c r="B23" s="309"/>
      <c r="E23" s="341" t="s">
        <v>305</v>
      </c>
      <c r="F23" s="438">
        <v>80</v>
      </c>
      <c r="G23" s="439"/>
      <c r="M23" s="431" t="s">
        <v>297</v>
      </c>
      <c r="N23" s="432"/>
      <c r="O23" s="339">
        <f>Calculations!AE11</f>
        <v>197</v>
      </c>
      <c r="Q23" s="309"/>
    </row>
    <row r="24" spans="2:17" ht="13.5" customHeight="1" thickBot="1">
      <c r="B24" s="309"/>
      <c r="E24" s="341" t="s">
        <v>306</v>
      </c>
      <c r="F24" s="483">
        <v>70</v>
      </c>
      <c r="G24" s="484"/>
      <c r="M24" s="431" t="s">
        <v>310</v>
      </c>
      <c r="N24" s="432"/>
      <c r="O24" s="339">
        <f>Calculations!AG11</f>
        <v>49</v>
      </c>
      <c r="Q24" s="309"/>
    </row>
    <row r="25" spans="2:17" ht="13.5" customHeight="1" thickBot="1">
      <c r="B25" s="309"/>
      <c r="M25" s="485" t="s">
        <v>320</v>
      </c>
      <c r="N25" s="486"/>
      <c r="O25" s="340">
        <v>32</v>
      </c>
      <c r="Q25" s="309"/>
    </row>
    <row r="26" spans="2:17" ht="14.4" thickBot="1">
      <c r="B26" s="309"/>
      <c r="E26" s="423" t="s">
        <v>317</v>
      </c>
      <c r="F26" s="424"/>
      <c r="G26" s="487"/>
      <c r="H26" s="359" t="s">
        <v>318</v>
      </c>
      <c r="Q26" s="309"/>
    </row>
    <row r="27" spans="2:17" ht="14.4" thickBot="1">
      <c r="B27" s="309"/>
      <c r="Q27" s="309"/>
    </row>
    <row r="28" spans="2:17" ht="14.4" thickBot="1">
      <c r="B28" s="309"/>
      <c r="D28" s="342"/>
      <c r="E28" s="342" t="s">
        <v>83</v>
      </c>
      <c r="F28" s="342" t="s">
        <v>324</v>
      </c>
      <c r="G28" s="342" t="s">
        <v>302</v>
      </c>
      <c r="H28" s="342" t="s">
        <v>84</v>
      </c>
      <c r="I28" s="342" t="s">
        <v>85</v>
      </c>
      <c r="J28" s="342" t="s">
        <v>86</v>
      </c>
      <c r="K28" s="342" t="s">
        <v>269</v>
      </c>
      <c r="L28" s="342" t="s">
        <v>271</v>
      </c>
      <c r="M28" s="342" t="s">
        <v>270</v>
      </c>
      <c r="N28" s="342" t="s">
        <v>304</v>
      </c>
      <c r="O28" s="342" t="s">
        <v>268</v>
      </c>
      <c r="Q28" s="309"/>
    </row>
    <row r="29" spans="2:17">
      <c r="B29" s="309"/>
      <c r="D29" s="298">
        <v>1</v>
      </c>
      <c r="E29" s="343" t="s">
        <v>87</v>
      </c>
      <c r="F29" s="343"/>
      <c r="G29" s="354" t="s">
        <v>294</v>
      </c>
      <c r="H29" s="355" t="s">
        <v>90</v>
      </c>
      <c r="I29" s="297">
        <f ca="1">IF(K29="","",VLOOKUP(H29,Calculations!$R$14:$W$47,4,FALSE))</f>
        <v>9</v>
      </c>
      <c r="J29" s="297">
        <f ca="1">IF(L29="","",VLOOKUP(H29,Calculations!$R$14:$W$47,5,FALSE))</f>
        <v>10.9</v>
      </c>
      <c r="K29" s="297">
        <f ca="1">IFERROR(Calculations!AG51*$H$20,"")</f>
        <v>10.007601190403218</v>
      </c>
      <c r="L29" s="297">
        <f ca="1">IFERROR(Calculations!AH51*$I$20,"")</f>
        <v>11.588722327581033</v>
      </c>
      <c r="M29" s="297">
        <f ca="1">IFERROR(Calculations!AI51*$H$20,"")</f>
        <v>7.763097838094235</v>
      </c>
      <c r="N29" s="298" t="str">
        <f>IFERROR(VLOOKUP(H29,Calculations!$R$14:$W$47,2,FALSE),"")</f>
        <v>High Wall Mid Carrier</v>
      </c>
      <c r="O29" s="355">
        <v>10</v>
      </c>
      <c r="Q29" s="309"/>
    </row>
    <row r="30" spans="2:17">
      <c r="B30" s="309"/>
      <c r="D30" s="300">
        <v>2</v>
      </c>
      <c r="E30" s="344" t="s">
        <v>89</v>
      </c>
      <c r="F30" s="344"/>
      <c r="G30" s="354" t="s">
        <v>294</v>
      </c>
      <c r="H30" s="354" t="s">
        <v>206</v>
      </c>
      <c r="I30" s="299">
        <f ca="1">IF(K30="","",VLOOKUP(H30,Calculations!$R$14:$W$47,4,FALSE))</f>
        <v>8.5</v>
      </c>
      <c r="J30" s="299">
        <f ca="1">IF(L30="","",VLOOKUP(H30,Calculations!$R$14:$W$47,5,FALSE))</f>
        <v>9.8000000000000007</v>
      </c>
      <c r="K30" s="297">
        <f ca="1">IFERROR(Calculations!AG52*$H$20,"")</f>
        <v>9.0511360354288204</v>
      </c>
      <c r="L30" s="299">
        <f ca="1">IFERROR(Calculations!AH52*$I$20,"")</f>
        <v>10.619443100002394</v>
      </c>
      <c r="M30" s="299">
        <f ca="1">IFERROR(Calculations!AI52*$H$20,"")</f>
        <v>6.8066326831198385</v>
      </c>
      <c r="N30" s="300" t="str">
        <f>IFERROR(VLOOKUP(H30,Calculations!$R$14:$W$47,2,FALSE),"")</f>
        <v>High Wall Entry</v>
      </c>
      <c r="O30" s="354">
        <v>45</v>
      </c>
      <c r="Q30" s="309"/>
    </row>
    <row r="31" spans="2:17">
      <c r="B31" s="309"/>
      <c r="D31" s="300">
        <v>3</v>
      </c>
      <c r="E31" s="344" t="s">
        <v>264</v>
      </c>
      <c r="F31" s="344"/>
      <c r="G31" s="354"/>
      <c r="H31" s="354"/>
      <c r="I31" s="299" t="str">
        <f ca="1">IF(K31="","",VLOOKUP(H31,Calculations!$R$14:$W$47,4,FALSE))</f>
        <v/>
      </c>
      <c r="J31" s="299" t="str">
        <f ca="1">IF(L31="","",VLOOKUP(H31,Calculations!$R$14:$W$47,5,FALSE))</f>
        <v/>
      </c>
      <c r="K31" s="297" t="str">
        <f ca="1">IFERROR(Calculations!AG53*$H$20,"")</f>
        <v/>
      </c>
      <c r="L31" s="299" t="str">
        <f ca="1">IFERROR(Calculations!AH53*$I$20,"")</f>
        <v/>
      </c>
      <c r="M31" s="299" t="str">
        <f ca="1">IFERROR(Calculations!AI53*$H$20,"")</f>
        <v/>
      </c>
      <c r="N31" s="300" t="str">
        <f>IFERROR(VLOOKUP(H31,Calculations!$R$14:$W$47,2,FALSE),"")</f>
        <v/>
      </c>
      <c r="O31" s="354"/>
      <c r="Q31" s="309"/>
    </row>
    <row r="32" spans="2:17">
      <c r="B32" s="309"/>
      <c r="D32" s="300">
        <v>4</v>
      </c>
      <c r="E32" s="344" t="s">
        <v>265</v>
      </c>
      <c r="F32" s="344"/>
      <c r="G32" s="354"/>
      <c r="H32" s="354"/>
      <c r="I32" s="299" t="str">
        <f ca="1">IF(K32="","",VLOOKUP(H32,Calculations!$R$14:$W$47,4,FALSE))</f>
        <v/>
      </c>
      <c r="J32" s="299" t="str">
        <f ca="1">IF(L32="","",VLOOKUP(H32,Calculations!$R$14:$W$47,5,FALSE))</f>
        <v/>
      </c>
      <c r="K32" s="299" t="str">
        <f ca="1">IFERROR(Calculations!AG54*$H$20,"")</f>
        <v/>
      </c>
      <c r="L32" s="299" t="str">
        <f ca="1">IFERROR(Calculations!AH54*$I$20,"")</f>
        <v/>
      </c>
      <c r="M32" s="299" t="str">
        <f ca="1">IFERROR(Calculations!AI54*$H$20,"")</f>
        <v/>
      </c>
      <c r="N32" s="300" t="str">
        <f>IFERROR(VLOOKUP(H32,Calculations!$R$14:$W$47,2,FALSE),"")</f>
        <v/>
      </c>
      <c r="O32" s="354"/>
      <c r="Q32" s="309"/>
    </row>
    <row r="33" spans="2:17" ht="14.4" thickBot="1">
      <c r="B33" s="309"/>
      <c r="D33" s="302">
        <v>5</v>
      </c>
      <c r="E33" s="345" t="s">
        <v>266</v>
      </c>
      <c r="F33" s="345"/>
      <c r="G33" s="356"/>
      <c r="H33" s="356"/>
      <c r="I33" s="301" t="str">
        <f ca="1">IF(K33="","",VLOOKUP(H33,Calculations!$R$14:$W$47,4,FALSE))</f>
        <v/>
      </c>
      <c r="J33" s="301" t="str">
        <f ca="1">IF(L33="","",VLOOKUP(H33,Calculations!$R$14:$W$47,5,FALSE))</f>
        <v/>
      </c>
      <c r="K33" s="301" t="str">
        <f ca="1">IFERROR(Calculations!AG55*$H$20,"")</f>
        <v/>
      </c>
      <c r="L33" s="301" t="str">
        <f ca="1">IFERROR(Calculations!AH55*$I$20,"")</f>
        <v/>
      </c>
      <c r="M33" s="301" t="str">
        <f ca="1">IFERROR(Calculations!AI55*$H$20,"")</f>
        <v/>
      </c>
      <c r="N33" s="302" t="str">
        <f>IFERROR(VLOOKUP(H33,Calculations!$R$14:$W$47,2,FALSE),"")</f>
        <v/>
      </c>
      <c r="O33" s="356"/>
      <c r="Q33" s="309"/>
    </row>
    <row r="34" spans="2:17" ht="15" customHeight="1">
      <c r="B34" s="309"/>
      <c r="D34" s="419" t="s">
        <v>66</v>
      </c>
      <c r="E34" s="419"/>
      <c r="F34" s="304"/>
      <c r="G34" s="304"/>
      <c r="H34" s="304"/>
      <c r="I34" s="303">
        <f ca="1">IF(SUM(I29:I33)=0,"",SUM(I29:I33))</f>
        <v>17.5</v>
      </c>
      <c r="J34" s="303">
        <f ca="1">IF(SUM(J29:J33)=0,"",SUM(J29:J33))</f>
        <v>20.700000000000003</v>
      </c>
      <c r="K34" s="303">
        <f ca="1">IF(SUM(K29:K33)=0,"",SUM(K29:K33))</f>
        <v>19.05873722583204</v>
      </c>
      <c r="L34" s="303">
        <f ca="1">IF(SUM(L29:L33)=0,"",SUM(L29:L33))</f>
        <v>22.208165427583427</v>
      </c>
      <c r="M34" s="303">
        <f ca="1">IF(SUM(M29:M33)=0,"",SUM(M29:M33))</f>
        <v>14.569730521214073</v>
      </c>
      <c r="N34" s="304"/>
      <c r="O34" s="304"/>
      <c r="Q34" s="309"/>
    </row>
    <row r="35" spans="2:17" ht="14.4" thickBot="1">
      <c r="B35" s="309"/>
      <c r="D35" s="420" t="s">
        <v>124</v>
      </c>
      <c r="E35" s="420"/>
      <c r="F35" s="302"/>
      <c r="G35" s="302"/>
      <c r="H35" s="302"/>
      <c r="I35" s="305">
        <f ca="1">IFERROR(I$34/$F$9,"")</f>
        <v>0.72916666666666663</v>
      </c>
      <c r="J35" s="305">
        <f ca="1">IFERROR(J$34/$F$10,"")</f>
        <v>0.90000000000000013</v>
      </c>
      <c r="K35" s="305">
        <f ca="1">IFERROR(K$34/$F$9,"")</f>
        <v>0.79411405107633504</v>
      </c>
      <c r="L35" s="305">
        <f ca="1">IFERROR(L$34/$F$10,"")</f>
        <v>0.96557240989493165</v>
      </c>
      <c r="M35" s="305"/>
      <c r="N35" s="302"/>
      <c r="O35" s="302"/>
      <c r="Q35" s="309"/>
    </row>
    <row r="36" spans="2:17" ht="14.4" thickBot="1">
      <c r="B36" s="309"/>
      <c r="K36" s="346"/>
      <c r="L36" s="346"/>
      <c r="M36" s="346"/>
      <c r="Q36" s="309"/>
    </row>
    <row r="37" spans="2:17">
      <c r="B37" s="309"/>
      <c r="D37" s="472" t="s">
        <v>412</v>
      </c>
      <c r="E37" s="473"/>
      <c r="F37" s="473"/>
      <c r="G37" s="473"/>
      <c r="H37" s="473"/>
      <c r="I37" s="473"/>
      <c r="J37" s="473"/>
      <c r="K37" s="473"/>
      <c r="L37" s="473"/>
      <c r="M37" s="473"/>
      <c r="N37" s="473"/>
      <c r="O37" s="474"/>
      <c r="Q37" s="309"/>
    </row>
    <row r="38" spans="2:17" ht="14.4" thickBot="1">
      <c r="B38" s="309"/>
      <c r="D38" s="475"/>
      <c r="E38" s="476"/>
      <c r="F38" s="476"/>
      <c r="G38" s="476"/>
      <c r="H38" s="476"/>
      <c r="I38" s="476"/>
      <c r="J38" s="476"/>
      <c r="K38" s="476"/>
      <c r="L38" s="476"/>
      <c r="M38" s="476"/>
      <c r="N38" s="476"/>
      <c r="O38" s="477"/>
      <c r="Q38" s="309"/>
    </row>
    <row r="39" spans="2:17">
      <c r="B39" s="309"/>
      <c r="K39" s="346"/>
      <c r="L39" s="346"/>
      <c r="M39" s="346"/>
      <c r="Q39" s="309"/>
    </row>
    <row r="40" spans="2:17" ht="19.5" customHeight="1">
      <c r="B40" s="306"/>
      <c r="C40" s="425" t="s">
        <v>91</v>
      </c>
      <c r="D40" s="425"/>
      <c r="E40" s="425"/>
      <c r="F40" s="425"/>
      <c r="G40" s="425"/>
      <c r="H40" s="425"/>
      <c r="I40" s="425"/>
      <c r="J40" s="425"/>
      <c r="K40" s="425"/>
      <c r="L40" s="425"/>
      <c r="M40" s="425"/>
      <c r="N40" s="425"/>
      <c r="O40" s="425"/>
      <c r="P40" s="425"/>
      <c r="Q40" s="306"/>
    </row>
    <row r="41" spans="2:17">
      <c r="B41" s="309"/>
      <c r="Q41" s="309"/>
    </row>
    <row r="42" spans="2:17">
      <c r="B42" s="309"/>
      <c r="D42" s="426" t="str">
        <f ca="1">IF(SUM(K29:K33)=0,"Combination is invalid please choose an allowed combination",IF(OR(O29&gt;Calculations!$AD$11,O30&gt;Calculations!$AD$11,O31&gt;Calculations!$AD$11,O32&gt;Calculations!$AD$11,O33&gt;Calculations!$AD$11),"Maximum piping length per indoor unit is "&amp;Calculations!$AD$11&amp;"ft",IF(O12&gt;Calculations!$AE$11,"Maximum total piping length per system is "&amp;Calculations!$AE$11&amp;" ft","")))</f>
        <v/>
      </c>
      <c r="E42" s="426"/>
      <c r="F42" s="426"/>
      <c r="G42" s="426"/>
      <c r="H42" s="427"/>
      <c r="I42" s="427"/>
      <c r="J42" s="427"/>
      <c r="K42" s="427"/>
      <c r="L42" s="427"/>
      <c r="M42" s="427"/>
      <c r="N42" s="427"/>
      <c r="O42" s="427"/>
      <c r="Q42" s="309"/>
    </row>
    <row r="43" spans="2:17">
      <c r="B43" s="309"/>
      <c r="D43" s="426" t="str">
        <f>IF(H26="No","It is recommended to use one multi-zone system per floor, consider splitting into multiple smaller systems","")</f>
        <v/>
      </c>
      <c r="E43" s="426"/>
      <c r="F43" s="426"/>
      <c r="G43" s="426"/>
      <c r="H43" s="427"/>
      <c r="I43" s="427"/>
      <c r="J43" s="427"/>
      <c r="K43" s="427"/>
      <c r="L43" s="427"/>
      <c r="M43" s="427"/>
      <c r="N43" s="427"/>
      <c r="O43" s="427"/>
      <c r="Q43" s="309"/>
    </row>
    <row r="44" spans="2:17">
      <c r="B44" s="309"/>
      <c r="D44" s="428" t="str">
        <f ca="1">IF(AND(Calculations!AI64&gt;0,SMALL(Calculations!Y17:AC17,1)=9),"This indoor unit may be oversized for the space and overheating could occur, consider using a single zone system or smaller multi-zone systems or consider using the 40MHHQ09---3 that provides slightly lower capacity."&amp;" See the multi-zone applications paper for details on setting up the indoor unit to prevent overheating",
IF(Calculations!AI64&gt;0,"This indoor unit may be oversized for the space and overheating could occur, consider using a single zone system or smaller multi-zone systems.  See the multi-zone applications paper for details on setting up the indoor unit to prevent overheating",""))</f>
        <v/>
      </c>
      <c r="E44" s="427"/>
      <c r="F44" s="427"/>
      <c r="G44" s="427"/>
      <c r="H44" s="427"/>
      <c r="I44" s="427"/>
      <c r="J44" s="427"/>
      <c r="K44" s="427"/>
      <c r="L44" s="427"/>
      <c r="M44" s="427"/>
      <c r="N44" s="427"/>
      <c r="O44" s="427"/>
      <c r="Q44" s="309"/>
    </row>
    <row r="45" spans="2:17">
      <c r="B45" s="309"/>
      <c r="D45" s="427"/>
      <c r="E45" s="427"/>
      <c r="F45" s="427"/>
      <c r="G45" s="427"/>
      <c r="H45" s="427"/>
      <c r="I45" s="427"/>
      <c r="J45" s="427"/>
      <c r="K45" s="427"/>
      <c r="L45" s="427"/>
      <c r="M45" s="427"/>
      <c r="N45" s="427"/>
      <c r="O45" s="427"/>
      <c r="Q45" s="309"/>
    </row>
    <row r="46" spans="2:17">
      <c r="B46" s="309"/>
      <c r="Q46" s="309"/>
    </row>
    <row r="47" spans="2:17">
      <c r="B47" s="306"/>
      <c r="C47" s="425" t="s">
        <v>93</v>
      </c>
      <c r="D47" s="425"/>
      <c r="E47" s="425"/>
      <c r="F47" s="425"/>
      <c r="G47" s="425"/>
      <c r="H47" s="425"/>
      <c r="I47" s="425"/>
      <c r="J47" s="425"/>
      <c r="K47" s="425"/>
      <c r="L47" s="425"/>
      <c r="M47" s="425"/>
      <c r="N47" s="425"/>
      <c r="O47" s="425"/>
      <c r="P47" s="425"/>
      <c r="Q47" s="306"/>
    </row>
    <row r="48" spans="2:17">
      <c r="B48" s="309"/>
      <c r="L48" s="347"/>
      <c r="M48" s="347"/>
      <c r="Q48" s="309"/>
    </row>
    <row r="49" spans="2:17" ht="15" customHeight="1">
      <c r="B49" s="309"/>
      <c r="D49" s="481" t="s">
        <v>294</v>
      </c>
      <c r="E49" s="482"/>
      <c r="F49" s="482"/>
      <c r="G49" s="482"/>
      <c r="H49" s="368" t="s">
        <v>226</v>
      </c>
      <c r="I49" s="471" t="s">
        <v>293</v>
      </c>
      <c r="J49" s="471"/>
      <c r="K49" s="367" t="s">
        <v>223</v>
      </c>
      <c r="L49" s="368" t="s">
        <v>409</v>
      </c>
      <c r="M49" s="471" t="s">
        <v>288</v>
      </c>
      <c r="N49" s="471"/>
      <c r="O49" s="471"/>
      <c r="Q49" s="309"/>
    </row>
    <row r="50" spans="2:17">
      <c r="B50" s="309"/>
      <c r="D50" s="348"/>
      <c r="E50" s="327"/>
      <c r="F50" s="327"/>
      <c r="G50" s="327"/>
      <c r="H50" s="392"/>
      <c r="I50" s="348"/>
      <c r="J50" s="349"/>
      <c r="K50" s="348"/>
      <c r="L50" s="392"/>
      <c r="M50" s="348"/>
      <c r="N50" s="327"/>
      <c r="O50" s="349"/>
      <c r="Q50" s="309"/>
    </row>
    <row r="51" spans="2:17">
      <c r="B51" s="309"/>
      <c r="D51" s="348"/>
      <c r="E51" s="327"/>
      <c r="F51" s="327"/>
      <c r="G51" s="327"/>
      <c r="H51" s="392"/>
      <c r="I51" s="348"/>
      <c r="J51" s="349"/>
      <c r="K51" s="348"/>
      <c r="L51" s="392"/>
      <c r="M51" s="348"/>
      <c r="N51" s="327"/>
      <c r="O51" s="349"/>
      <c r="Q51" s="309"/>
    </row>
    <row r="52" spans="2:17">
      <c r="B52" s="309"/>
      <c r="D52" s="348"/>
      <c r="E52" s="327"/>
      <c r="F52" s="327"/>
      <c r="G52" s="327"/>
      <c r="H52" s="392"/>
      <c r="I52" s="365" t="s">
        <v>349</v>
      </c>
      <c r="J52" s="366" t="s">
        <v>350</v>
      </c>
      <c r="K52" s="365"/>
      <c r="L52" s="393"/>
      <c r="M52" s="348"/>
      <c r="N52" s="327"/>
      <c r="O52" s="349"/>
      <c r="Q52" s="309"/>
    </row>
    <row r="53" spans="2:17" ht="21">
      <c r="B53" s="309"/>
      <c r="D53" s="478" t="s">
        <v>328</v>
      </c>
      <c r="E53" s="479"/>
      <c r="F53" s="480" t="s">
        <v>327</v>
      </c>
      <c r="G53" s="480"/>
      <c r="H53" s="395"/>
      <c r="I53" s="348"/>
      <c r="J53" s="349"/>
      <c r="K53" s="348"/>
      <c r="L53" s="392"/>
      <c r="M53" s="348"/>
      <c r="N53" s="327"/>
      <c r="O53" s="349"/>
      <c r="Q53" s="309"/>
    </row>
    <row r="54" spans="2:17" ht="15.6">
      <c r="B54" s="309"/>
      <c r="D54" s="348"/>
      <c r="E54" s="357"/>
      <c r="F54" s="361"/>
      <c r="G54" s="361"/>
      <c r="H54" s="396"/>
      <c r="I54" s="348"/>
      <c r="J54" s="349"/>
      <c r="K54" s="352" t="s">
        <v>415</v>
      </c>
      <c r="L54" s="392"/>
      <c r="M54" s="348"/>
      <c r="N54" s="327"/>
      <c r="O54" s="349"/>
      <c r="Q54" s="309"/>
    </row>
    <row r="55" spans="2:17">
      <c r="B55" s="309"/>
      <c r="D55" s="348"/>
      <c r="E55" s="357"/>
      <c r="F55" s="357"/>
      <c r="G55" s="357"/>
      <c r="H55" s="392"/>
      <c r="I55" s="348"/>
      <c r="J55" s="349"/>
      <c r="K55" s="348"/>
      <c r="L55" s="392"/>
      <c r="M55" s="348"/>
      <c r="N55" s="327"/>
      <c r="O55" s="349"/>
      <c r="Q55" s="309"/>
    </row>
    <row r="56" spans="2:17">
      <c r="B56" s="309"/>
      <c r="D56" s="348"/>
      <c r="E56" s="357"/>
      <c r="F56" s="357"/>
      <c r="G56" s="357"/>
      <c r="H56" s="392"/>
      <c r="I56" s="348"/>
      <c r="J56" s="349"/>
      <c r="K56" s="348"/>
      <c r="L56" s="392"/>
      <c r="M56" s="348"/>
      <c r="N56" s="327"/>
      <c r="O56" s="349"/>
      <c r="Q56" s="309"/>
    </row>
    <row r="57" spans="2:17">
      <c r="B57" s="309"/>
      <c r="D57" s="348"/>
      <c r="E57" s="357"/>
      <c r="F57" s="357"/>
      <c r="G57" s="357"/>
      <c r="H57" s="392"/>
      <c r="I57" s="348"/>
      <c r="J57" s="349"/>
      <c r="K57" s="348"/>
      <c r="L57" s="392"/>
      <c r="M57" s="348"/>
      <c r="N57" s="327"/>
      <c r="O57" s="349"/>
      <c r="Q57" s="309"/>
    </row>
    <row r="58" spans="2:17" ht="15.6">
      <c r="B58" s="309"/>
      <c r="D58" s="348"/>
      <c r="E58" s="357"/>
      <c r="F58" s="357"/>
      <c r="G58" s="357"/>
      <c r="H58" s="406" t="s">
        <v>418</v>
      </c>
      <c r="I58" s="350" t="s">
        <v>347</v>
      </c>
      <c r="J58" s="351">
        <v>24</v>
      </c>
      <c r="K58" s="391" t="s">
        <v>414</v>
      </c>
      <c r="L58" s="407">
        <v>24</v>
      </c>
      <c r="M58" s="352">
        <v>18</v>
      </c>
      <c r="N58" s="353" t="s">
        <v>290</v>
      </c>
      <c r="O58" s="351" t="s">
        <v>291</v>
      </c>
      <c r="Q58" s="309"/>
    </row>
    <row r="59" spans="2:17" ht="21">
      <c r="B59" s="309"/>
      <c r="D59" s="468" t="s">
        <v>296</v>
      </c>
      <c r="E59" s="469"/>
      <c r="F59" s="360"/>
      <c r="G59" s="360"/>
      <c r="H59" s="397" t="s">
        <v>295</v>
      </c>
      <c r="I59" s="468" t="s">
        <v>292</v>
      </c>
      <c r="J59" s="470"/>
      <c r="K59" s="390" t="s">
        <v>289</v>
      </c>
      <c r="L59" s="394" t="s">
        <v>416</v>
      </c>
      <c r="M59" s="468" t="s">
        <v>346</v>
      </c>
      <c r="N59" s="469"/>
      <c r="O59" s="470"/>
      <c r="Q59" s="309"/>
    </row>
    <row r="60" spans="2:17">
      <c r="B60" s="309"/>
      <c r="Q60" s="309"/>
    </row>
    <row r="61" spans="2:17">
      <c r="B61" s="309"/>
      <c r="D61" s="308" t="s">
        <v>325</v>
      </c>
      <c r="Q61" s="309"/>
    </row>
    <row r="62" spans="2:17" ht="17.25" customHeight="1">
      <c r="B62" s="309"/>
      <c r="C62" s="309"/>
      <c r="D62" s="309"/>
      <c r="E62" s="309"/>
      <c r="F62" s="309"/>
      <c r="G62" s="309"/>
      <c r="H62" s="309"/>
      <c r="I62" s="309"/>
      <c r="J62" s="309"/>
      <c r="K62" s="309"/>
      <c r="L62" s="309"/>
      <c r="M62" s="309"/>
      <c r="N62" s="309"/>
      <c r="O62" s="309"/>
      <c r="P62" s="309"/>
      <c r="Q62" s="309"/>
    </row>
    <row r="64" spans="2:17" ht="12.75" customHeight="1">
      <c r="C64" s="408" t="s">
        <v>417</v>
      </c>
      <c r="D64" s="409"/>
      <c r="E64" s="409"/>
      <c r="F64" s="409"/>
      <c r="G64" s="409"/>
      <c r="H64" s="409"/>
      <c r="I64" s="409"/>
      <c r="J64" s="409"/>
      <c r="K64" s="409"/>
      <c r="L64" s="409"/>
      <c r="M64" s="409"/>
      <c r="N64" s="409"/>
      <c r="O64" s="409"/>
      <c r="P64" s="410"/>
    </row>
    <row r="65" spans="3:16">
      <c r="C65" s="411"/>
      <c r="D65" s="412"/>
      <c r="E65" s="412"/>
      <c r="F65" s="412"/>
      <c r="G65" s="412"/>
      <c r="H65" s="412"/>
      <c r="I65" s="412"/>
      <c r="J65" s="412"/>
      <c r="K65" s="412"/>
      <c r="L65" s="412"/>
      <c r="M65" s="412"/>
      <c r="N65" s="412"/>
      <c r="O65" s="412"/>
      <c r="P65" s="413"/>
    </row>
    <row r="66" spans="3:16">
      <c r="C66" s="411"/>
      <c r="D66" s="412"/>
      <c r="E66" s="412"/>
      <c r="F66" s="412"/>
      <c r="G66" s="412"/>
      <c r="H66" s="412"/>
      <c r="I66" s="412"/>
      <c r="J66" s="412"/>
      <c r="K66" s="412"/>
      <c r="L66" s="412"/>
      <c r="M66" s="412"/>
      <c r="N66" s="412"/>
      <c r="O66" s="412"/>
      <c r="P66" s="413"/>
    </row>
    <row r="67" spans="3:16">
      <c r="C67" s="411"/>
      <c r="D67" s="412"/>
      <c r="E67" s="412"/>
      <c r="F67" s="412"/>
      <c r="G67" s="412"/>
      <c r="H67" s="412"/>
      <c r="I67" s="412"/>
      <c r="J67" s="412"/>
      <c r="K67" s="412"/>
      <c r="L67" s="412"/>
      <c r="M67" s="412"/>
      <c r="N67" s="412"/>
      <c r="O67" s="412"/>
      <c r="P67" s="413"/>
    </row>
    <row r="68" spans="3:16">
      <c r="C68" s="411"/>
      <c r="D68" s="412"/>
      <c r="E68" s="412"/>
      <c r="F68" s="412"/>
      <c r="G68" s="412"/>
      <c r="H68" s="412"/>
      <c r="I68" s="412"/>
      <c r="J68" s="412"/>
      <c r="K68" s="412"/>
      <c r="L68" s="412"/>
      <c r="M68" s="412"/>
      <c r="N68" s="412"/>
      <c r="O68" s="412"/>
      <c r="P68" s="413"/>
    </row>
    <row r="69" spans="3:16">
      <c r="C69" s="411"/>
      <c r="D69" s="412"/>
      <c r="E69" s="412"/>
      <c r="F69" s="412"/>
      <c r="G69" s="412"/>
      <c r="H69" s="412"/>
      <c r="I69" s="412"/>
      <c r="J69" s="412"/>
      <c r="K69" s="412"/>
      <c r="L69" s="412"/>
      <c r="M69" s="412"/>
      <c r="N69" s="412"/>
      <c r="O69" s="412"/>
      <c r="P69" s="413"/>
    </row>
    <row r="70" spans="3:16">
      <c r="C70" s="411"/>
      <c r="D70" s="412"/>
      <c r="E70" s="412"/>
      <c r="F70" s="412"/>
      <c r="G70" s="412"/>
      <c r="H70" s="412"/>
      <c r="I70" s="412"/>
      <c r="J70" s="412"/>
      <c r="K70" s="412"/>
      <c r="L70" s="412"/>
      <c r="M70" s="412"/>
      <c r="N70" s="412"/>
      <c r="O70" s="412"/>
      <c r="P70" s="413"/>
    </row>
    <row r="71" spans="3:16">
      <c r="C71" s="411"/>
      <c r="D71" s="412"/>
      <c r="E71" s="412"/>
      <c r="F71" s="412"/>
      <c r="G71" s="412"/>
      <c r="H71" s="412"/>
      <c r="I71" s="412"/>
      <c r="J71" s="412"/>
      <c r="K71" s="412"/>
      <c r="L71" s="412"/>
      <c r="M71" s="412"/>
      <c r="N71" s="412"/>
      <c r="O71" s="412"/>
      <c r="P71" s="413"/>
    </row>
    <row r="72" spans="3:16">
      <c r="C72" s="411"/>
      <c r="D72" s="412"/>
      <c r="E72" s="412"/>
      <c r="F72" s="412"/>
      <c r="G72" s="412"/>
      <c r="H72" s="412"/>
      <c r="I72" s="412"/>
      <c r="J72" s="412"/>
      <c r="K72" s="412"/>
      <c r="L72" s="412"/>
      <c r="M72" s="412"/>
      <c r="N72" s="412"/>
      <c r="O72" s="412"/>
      <c r="P72" s="413"/>
    </row>
    <row r="73" spans="3:16">
      <c r="C73" s="411"/>
      <c r="D73" s="412"/>
      <c r="E73" s="412"/>
      <c r="F73" s="412"/>
      <c r="G73" s="412"/>
      <c r="H73" s="412"/>
      <c r="I73" s="412"/>
      <c r="J73" s="412"/>
      <c r="K73" s="412"/>
      <c r="L73" s="412"/>
      <c r="M73" s="412"/>
      <c r="N73" s="412"/>
      <c r="O73" s="412"/>
      <c r="P73" s="413"/>
    </row>
    <row r="74" spans="3:16">
      <c r="C74" s="411"/>
      <c r="D74" s="412"/>
      <c r="E74" s="412"/>
      <c r="F74" s="412"/>
      <c r="G74" s="412"/>
      <c r="H74" s="412"/>
      <c r="I74" s="412"/>
      <c r="J74" s="412"/>
      <c r="K74" s="412"/>
      <c r="L74" s="412"/>
      <c r="M74" s="412"/>
      <c r="N74" s="412"/>
      <c r="O74" s="412"/>
      <c r="P74" s="413"/>
    </row>
    <row r="75" spans="3:16">
      <c r="C75" s="411"/>
      <c r="D75" s="412"/>
      <c r="E75" s="412"/>
      <c r="F75" s="412"/>
      <c r="G75" s="412"/>
      <c r="H75" s="412"/>
      <c r="I75" s="412"/>
      <c r="J75" s="412"/>
      <c r="K75" s="412"/>
      <c r="L75" s="412"/>
      <c r="M75" s="412"/>
      <c r="N75" s="412"/>
      <c r="O75" s="412"/>
      <c r="P75" s="413"/>
    </row>
    <row r="76" spans="3:16">
      <c r="C76" s="414"/>
      <c r="D76" s="415"/>
      <c r="E76" s="415"/>
      <c r="F76" s="415"/>
      <c r="G76" s="415"/>
      <c r="H76" s="415"/>
      <c r="I76" s="415"/>
      <c r="J76" s="415"/>
      <c r="K76" s="415"/>
      <c r="L76" s="415"/>
      <c r="M76" s="415"/>
      <c r="N76" s="415"/>
      <c r="O76" s="415"/>
      <c r="P76" s="416"/>
    </row>
  </sheetData>
  <sheetProtection algorithmName="SHA-512" hashValue="+MA6WV8pjVnXSusgli7Bdyslz7aqkkNjQQUdwtD+XrtoTUVhfOGFcbkTljtOqWYuCWA4s/0gtDGAw4G/DqnC3w==" saltValue="Xq9oZr6VnN9isTU4UQ/fFg==" spinCount="100000" sheet="1" objects="1" scenarios="1"/>
  <mergeCells count="48">
    <mergeCell ref="M22:N22"/>
    <mergeCell ref="F53:G53"/>
    <mergeCell ref="D49:G49"/>
    <mergeCell ref="F24:G24"/>
    <mergeCell ref="E22:G22"/>
    <mergeCell ref="M24:N24"/>
    <mergeCell ref="M25:N25"/>
    <mergeCell ref="E26:G26"/>
    <mergeCell ref="M23:N23"/>
    <mergeCell ref="M59:O59"/>
    <mergeCell ref="M49:O49"/>
    <mergeCell ref="D37:O38"/>
    <mergeCell ref="I59:J59"/>
    <mergeCell ref="I49:J49"/>
    <mergeCell ref="D59:E59"/>
    <mergeCell ref="D53:E53"/>
    <mergeCell ref="D43:O43"/>
    <mergeCell ref="F16:G16"/>
    <mergeCell ref="F17:G17"/>
    <mergeCell ref="F18:G18"/>
    <mergeCell ref="D3:O3"/>
    <mergeCell ref="E5:H5"/>
    <mergeCell ref="E15:F15"/>
    <mergeCell ref="M5:O5"/>
    <mergeCell ref="M12:N12"/>
    <mergeCell ref="F6:H6"/>
    <mergeCell ref="F7:H7"/>
    <mergeCell ref="F8:H8"/>
    <mergeCell ref="F11:H11"/>
    <mergeCell ref="F12:H12"/>
    <mergeCell ref="F9:H9"/>
    <mergeCell ref="F10:H10"/>
    <mergeCell ref="C64:P76"/>
    <mergeCell ref="M13:N13"/>
    <mergeCell ref="D34:E34"/>
    <mergeCell ref="D35:E35"/>
    <mergeCell ref="H14:I14"/>
    <mergeCell ref="E19:F19"/>
    <mergeCell ref="E20:F20"/>
    <mergeCell ref="C40:P40"/>
    <mergeCell ref="D42:O42"/>
    <mergeCell ref="D44:O45"/>
    <mergeCell ref="C47:P47"/>
    <mergeCell ref="M20:N20"/>
    <mergeCell ref="M21:N21"/>
    <mergeCell ref="J18:L21"/>
    <mergeCell ref="M19:O19"/>
    <mergeCell ref="F23:G23"/>
  </mergeCells>
  <phoneticPr fontId="35" type="noConversion"/>
  <conditionalFormatting sqref="O29:O33">
    <cfRule type="expression" dxfId="41" priority="6">
      <formula>AND(NOT(ISBLANK(H29)),ISBLANK(O29))</formula>
    </cfRule>
    <cfRule type="expression" dxfId="40" priority="24">
      <formula>"$L$11&gt;Calculations!$AX$11"</formula>
    </cfRule>
  </conditionalFormatting>
  <conditionalFormatting sqref="O12">
    <cfRule type="expression" dxfId="39" priority="23">
      <formula>"$L$17&gt;Calculations!$AY$11"</formula>
    </cfRule>
  </conditionalFormatting>
  <conditionalFormatting sqref="D31:O31">
    <cfRule type="expression" dxfId="38" priority="12">
      <formula>$F$12&lt;3</formula>
    </cfRule>
  </conditionalFormatting>
  <conditionalFormatting sqref="D32:O32">
    <cfRule type="expression" dxfId="37" priority="11">
      <formula>$F$12&lt;4</formula>
    </cfRule>
  </conditionalFormatting>
  <conditionalFormatting sqref="D33:O33">
    <cfRule type="expression" dxfId="36" priority="10">
      <formula>$F$12&lt;5</formula>
    </cfRule>
  </conditionalFormatting>
  <conditionalFormatting sqref="D42 H29:H33 O23">
    <cfRule type="expression" dxfId="35" priority="25">
      <formula>$D$42&lt;&gt;""</formula>
    </cfRule>
  </conditionalFormatting>
  <conditionalFormatting sqref="H16:I20">
    <cfRule type="cellIs" dxfId="34" priority="7" operator="lessThan">
      <formula>1</formula>
    </cfRule>
  </conditionalFormatting>
  <conditionalFormatting sqref="O24">
    <cfRule type="expression" dxfId="33" priority="5">
      <formula>$D$42&lt;&gt;""</formula>
    </cfRule>
  </conditionalFormatting>
  <conditionalFormatting sqref="O25">
    <cfRule type="expression" dxfId="32" priority="3">
      <formula>$D$42&lt;&gt;""</formula>
    </cfRule>
  </conditionalFormatting>
  <conditionalFormatting sqref="H26">
    <cfRule type="expression" dxfId="31" priority="1">
      <formula>$H$26="No"</formula>
    </cfRule>
  </conditionalFormatting>
  <conditionalFormatting sqref="D43:O43 G29:H33">
    <cfRule type="expression" dxfId="30" priority="13">
      <formula>$D$43&lt;&gt;""</formula>
    </cfRule>
  </conditionalFormatting>
  <dataValidations count="3">
    <dataValidation type="list" allowBlank="1" showInputMessage="1" showErrorMessage="1" sqref="H29:H33">
      <formula1>OFFSET(IndoorStart,MATCH($G29, IndoorType, 0) -1, 1, COUNTIF(IndoorType,$G29), 1)</formula1>
    </dataValidation>
    <dataValidation type="list" allowBlank="1" showInputMessage="1" showErrorMessage="1" sqref="G29:G33">
      <formula1>IndoorTypeList</formula1>
    </dataValidation>
    <dataValidation type="list" allowBlank="1" showInputMessage="1" showErrorMessage="1" sqref="H26">
      <formula1>"Yes, No"</formula1>
    </dataValidation>
  </dataValidations>
  <pageMargins left="0.25" right="0.25" top="0.25" bottom="0.25" header="0.3" footer="0.3"/>
  <pageSetup scale="56" orientation="landscape" verticalDpi="0" r:id="rId1"/>
  <ignoredErrors>
    <ignoredError sqref="J35:K35" formula="1"/>
    <ignoredError sqref="F7"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21" operator="greaterThan" id="{EF872C5A-9B1D-4B0E-8409-E14F36726438}">
            <xm:f>Calculations!$AD$11</xm:f>
            <x14:dxf>
              <font>
                <color auto="1"/>
              </font>
              <fill>
                <patternFill>
                  <bgColor rgb="FFFF0000"/>
                </patternFill>
              </fill>
            </x14:dxf>
          </x14:cfRule>
          <xm:sqref>O29:O33</xm:sqref>
        </x14:conditionalFormatting>
        <x14:conditionalFormatting xmlns:xm="http://schemas.microsoft.com/office/excel/2006/main">
          <x14:cfRule type="cellIs" priority="20" operator="greaterThan" id="{DEFB30F9-20BE-464C-B5BD-C11CE00705BF}">
            <xm:f>Calculations!$AE$11</xm:f>
            <x14:dxf>
              <font>
                <color rgb="FF9C0006"/>
              </font>
              <fill>
                <patternFill>
                  <bgColor rgb="FFFFC7CE"/>
                </patternFill>
              </fill>
            </x14:dxf>
          </x14:cfRule>
          <xm:sqref>O12</xm:sqref>
        </x14:conditionalFormatting>
        <x14:conditionalFormatting xmlns:xm="http://schemas.microsoft.com/office/excel/2006/main">
          <x14:cfRule type="expression" priority="38" id="{F8F1441E-47B9-4A5F-A4D7-513B217A0A62}">
            <xm:f>Calculations!$AI$59&gt;0</xm:f>
            <x14:dxf>
              <fill>
                <patternFill>
                  <bgColor rgb="FF00B0F0"/>
                </patternFill>
              </fill>
            </x14:dxf>
          </x14:cfRule>
          <xm:sqref>H29</xm:sqref>
        </x14:conditionalFormatting>
        <x14:conditionalFormatting xmlns:xm="http://schemas.microsoft.com/office/excel/2006/main">
          <x14:cfRule type="expression" priority="39" id="{8A1B7BD8-4385-4B77-A356-3E3A43E544D8}">
            <xm:f>Calculations!$AI$60&gt;0</xm:f>
            <x14:dxf>
              <fill>
                <patternFill>
                  <bgColor rgb="FF00B0F0"/>
                </patternFill>
              </fill>
            </x14:dxf>
          </x14:cfRule>
          <xm:sqref>H30</xm:sqref>
        </x14:conditionalFormatting>
        <x14:conditionalFormatting xmlns:xm="http://schemas.microsoft.com/office/excel/2006/main">
          <x14:cfRule type="expression" priority="40" id="{C6FDC57A-A564-4ECE-BC89-F353191C9F60}">
            <xm:f>Calculations!$AI$61&gt;0</xm:f>
            <x14:dxf>
              <fill>
                <patternFill>
                  <bgColor rgb="FF00B0F0"/>
                </patternFill>
              </fill>
            </x14:dxf>
          </x14:cfRule>
          <xm:sqref>H31</xm:sqref>
        </x14:conditionalFormatting>
        <x14:conditionalFormatting xmlns:xm="http://schemas.microsoft.com/office/excel/2006/main">
          <x14:cfRule type="expression" priority="41" id="{F0FAD5F0-4FEB-4A22-AF5B-27E27083041E}">
            <xm:f>Calculations!$AI$62&gt;0</xm:f>
            <x14:dxf>
              <fill>
                <patternFill>
                  <bgColor rgb="FF00B0F0"/>
                </patternFill>
              </fill>
            </x14:dxf>
          </x14:cfRule>
          <xm:sqref>H32</xm:sqref>
        </x14:conditionalFormatting>
        <x14:conditionalFormatting xmlns:xm="http://schemas.microsoft.com/office/excel/2006/main">
          <x14:cfRule type="expression" priority="42" id="{2C6474DF-9D23-4A8F-9C86-B5CC95D736FF}">
            <xm:f>Calculations!$AI$63&gt;0</xm:f>
            <x14:dxf>
              <fill>
                <patternFill>
                  <bgColor rgb="FF00B0F0"/>
                </patternFill>
              </fill>
            </x14:dxf>
          </x14:cfRule>
          <xm:sqref>H33</xm:sqref>
        </x14:conditionalFormatting>
        <x14:conditionalFormatting xmlns:xm="http://schemas.microsoft.com/office/excel/2006/main">
          <x14:cfRule type="expression" priority="43" id="{C21C05C0-A994-43C8-9246-812893451FFD}">
            <xm:f>Calculations!$AI$64&gt;0</xm:f>
            <x14:dxf>
              <fill>
                <patternFill>
                  <bgColor rgb="FF00B0F0"/>
                </patternFill>
              </fill>
            </x14:dxf>
          </x14:cfRule>
          <xm:sqref>D44</xm:sqref>
        </x14:conditionalFormatting>
      </x14:conditionalFormattings>
    </ext>
    <ext xmlns:x14="http://schemas.microsoft.com/office/spreadsheetml/2009/9/main" uri="{CCE6A557-97BC-4b89-ADB6-D9C93CAAB3DF}">
      <x14:dataValidations xmlns:xm="http://schemas.microsoft.com/office/excel/2006/main" count="2">
        <x14:dataValidation type="whole" errorStyle="warning" allowBlank="1" showInputMessage="1" showErrorMessage="1" errorTitle="Minimum Piping Lenght 10 ft" error="Please enter a value between 10 ft and the maximum piping lenght per indoor unit allowed_x000a_">
          <x14:formula1>
            <xm:f>10</xm:f>
          </x14:formula1>
          <x14:formula2>
            <xm:f>Calculations!$AD$11</xm:f>
          </x14:formula2>
          <xm:sqref>O29:O33</xm:sqref>
        </x14:dataValidation>
        <x14:dataValidation type="list" allowBlank="1" showInputMessage="1" showErrorMessage="1">
          <x14:formula1>
            <xm:f>Calculations!$N$6:$N$10</xm:f>
          </x14:formula1>
          <xm:sqref>F6:G6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4"/>
  <sheetViews>
    <sheetView workbookViewId="0"/>
  </sheetViews>
  <sheetFormatPr defaultColWidth="9.109375" defaultRowHeight="14.4"/>
  <cols>
    <col min="1" max="1" width="15.44140625" style="24" customWidth="1"/>
    <col min="2" max="4" width="11.44140625" style="24" customWidth="1"/>
    <col min="5" max="16384" width="9.109375" style="24"/>
  </cols>
  <sheetData>
    <row r="1" spans="1:21">
      <c r="A1" s="1" t="s">
        <v>67</v>
      </c>
      <c r="K1" s="25" t="s">
        <v>68</v>
      </c>
    </row>
    <row r="2" spans="1:21" ht="15" thickBot="1"/>
    <row r="3" spans="1:21">
      <c r="A3" s="538" t="s">
        <v>37</v>
      </c>
      <c r="B3" s="539"/>
      <c r="C3" s="538" t="s">
        <v>69</v>
      </c>
      <c r="D3" s="539"/>
    </row>
    <row r="4" spans="1:21">
      <c r="A4" s="22" t="s">
        <v>70</v>
      </c>
      <c r="B4" s="23" t="s">
        <v>71</v>
      </c>
      <c r="C4" s="22" t="s">
        <v>33</v>
      </c>
      <c r="D4" s="23" t="s">
        <v>35</v>
      </c>
    </row>
    <row r="5" spans="1:21">
      <c r="A5" s="26">
        <v>0</v>
      </c>
      <c r="B5" s="27">
        <v>0</v>
      </c>
      <c r="C5" s="28">
        <v>1</v>
      </c>
      <c r="D5" s="29">
        <v>1</v>
      </c>
    </row>
    <row r="6" spans="1:21">
      <c r="A6" s="26">
        <v>305</v>
      </c>
      <c r="B6" s="27">
        <v>1000</v>
      </c>
      <c r="C6" s="28">
        <v>0.99</v>
      </c>
      <c r="D6" s="29">
        <v>0.99</v>
      </c>
    </row>
    <row r="7" spans="1:21">
      <c r="A7" s="26">
        <v>610</v>
      </c>
      <c r="B7" s="27">
        <v>2000</v>
      </c>
      <c r="C7" s="28">
        <v>0.98</v>
      </c>
      <c r="D7" s="29">
        <v>0.98</v>
      </c>
    </row>
    <row r="8" spans="1:21">
      <c r="A8" s="26">
        <v>914</v>
      </c>
      <c r="B8" s="27">
        <v>3000</v>
      </c>
      <c r="C8" s="28">
        <v>0.97</v>
      </c>
      <c r="D8" s="29">
        <v>0.98</v>
      </c>
    </row>
    <row r="9" spans="1:21">
      <c r="A9" s="26">
        <v>1219</v>
      </c>
      <c r="B9" s="27">
        <v>4000</v>
      </c>
      <c r="C9" s="28">
        <v>0.96</v>
      </c>
      <c r="D9" s="29">
        <v>0.97</v>
      </c>
    </row>
    <row r="10" spans="1:21">
      <c r="A10" s="26">
        <v>1524</v>
      </c>
      <c r="B10" s="27">
        <v>5000</v>
      </c>
      <c r="C10" s="28">
        <v>0.95</v>
      </c>
      <c r="D10" s="29">
        <v>0.96</v>
      </c>
    </row>
    <row r="11" spans="1:21">
      <c r="A11" s="26">
        <v>1829</v>
      </c>
      <c r="B11" s="27">
        <v>6000</v>
      </c>
      <c r="C11" s="28">
        <v>0.94</v>
      </c>
      <c r="D11" s="29">
        <v>0.95</v>
      </c>
    </row>
    <row r="12" spans="1:21">
      <c r="A12" s="26">
        <v>2134</v>
      </c>
      <c r="B12" s="27">
        <v>7000</v>
      </c>
      <c r="C12" s="28">
        <v>0.92</v>
      </c>
      <c r="D12" s="29">
        <v>0.94</v>
      </c>
      <c r="S12" s="145"/>
      <c r="T12" s="145"/>
      <c r="U12" s="145"/>
    </row>
    <row r="13" spans="1:21">
      <c r="A13" s="26">
        <v>2438</v>
      </c>
      <c r="B13" s="27">
        <v>8000</v>
      </c>
      <c r="C13" s="28">
        <v>0.9</v>
      </c>
      <c r="D13" s="29">
        <v>0.94</v>
      </c>
      <c r="S13" s="145"/>
      <c r="T13" s="145"/>
      <c r="U13" s="145"/>
    </row>
    <row r="14" spans="1:21">
      <c r="A14" s="26">
        <v>2743</v>
      </c>
      <c r="B14" s="27">
        <v>9000</v>
      </c>
      <c r="C14" s="28">
        <v>0.86</v>
      </c>
      <c r="D14" s="29">
        <v>0.93</v>
      </c>
      <c r="S14" s="145"/>
      <c r="T14" s="145"/>
      <c r="U14" s="145"/>
    </row>
    <row r="15" spans="1:21" ht="15" thickBot="1">
      <c r="A15" s="30">
        <v>3048</v>
      </c>
      <c r="B15" s="31">
        <v>10000</v>
      </c>
      <c r="C15" s="32">
        <v>0.82</v>
      </c>
      <c r="D15" s="33">
        <v>0.92</v>
      </c>
      <c r="S15" s="145"/>
      <c r="T15" s="145"/>
      <c r="U15" s="145"/>
    </row>
    <row r="16" spans="1:21">
      <c r="S16" s="145"/>
      <c r="T16" s="145"/>
      <c r="U16" s="145"/>
    </row>
    <row r="17" spans="1:21">
      <c r="S17" s="145"/>
      <c r="T17" s="145"/>
      <c r="U17" s="145"/>
    </row>
    <row r="18" spans="1:21">
      <c r="A18" s="34" t="s">
        <v>72</v>
      </c>
    </row>
    <row r="19" spans="1:21">
      <c r="A19" s="34" t="s">
        <v>73</v>
      </c>
    </row>
    <row r="22" spans="1:21" ht="21.6" thickBot="1">
      <c r="A22" s="45" t="s">
        <v>114</v>
      </c>
    </row>
    <row r="23" spans="1:21" ht="15" thickBot="1">
      <c r="A23" s="41" t="s">
        <v>112</v>
      </c>
      <c r="B23" s="42" t="s">
        <v>33</v>
      </c>
      <c r="C23" s="42" t="s">
        <v>35</v>
      </c>
      <c r="D23" s="43" t="s">
        <v>113</v>
      </c>
    </row>
    <row r="24" spans="1:21" ht="15" thickBot="1">
      <c r="A24" s="44">
        <v>0</v>
      </c>
      <c r="B24" s="49">
        <v>1</v>
      </c>
      <c r="C24" s="49">
        <v>1</v>
      </c>
      <c r="D24" s="48">
        <f t="shared" ref="D24:D34" si="0">B24*C24</f>
        <v>1</v>
      </c>
    </row>
    <row r="25" spans="1:21" ht="15" thickBot="1">
      <c r="A25" s="46">
        <v>1000</v>
      </c>
      <c r="B25" s="48">
        <v>0.99</v>
      </c>
      <c r="C25" s="48">
        <v>0.99</v>
      </c>
      <c r="D25" s="48">
        <f t="shared" si="0"/>
        <v>0.98009999999999997</v>
      </c>
    </row>
    <row r="26" spans="1:21" ht="15" thickBot="1">
      <c r="A26" s="47">
        <v>2000</v>
      </c>
      <c r="B26" s="49">
        <v>0.98</v>
      </c>
      <c r="C26" s="49">
        <v>0.98</v>
      </c>
      <c r="D26" s="49">
        <f t="shared" si="0"/>
        <v>0.96039999999999992</v>
      </c>
    </row>
    <row r="27" spans="1:21" ht="15" thickBot="1">
      <c r="A27" s="46">
        <v>3000</v>
      </c>
      <c r="B27" s="48">
        <v>0.97</v>
      </c>
      <c r="C27" s="48">
        <v>0.98</v>
      </c>
      <c r="D27" s="48">
        <f t="shared" si="0"/>
        <v>0.9506</v>
      </c>
    </row>
    <row r="28" spans="1:21" ht="15" thickBot="1">
      <c r="A28" s="47">
        <v>4000</v>
      </c>
      <c r="B28" s="49">
        <v>0.96</v>
      </c>
      <c r="C28" s="49">
        <v>0.97</v>
      </c>
      <c r="D28" s="49">
        <f t="shared" si="0"/>
        <v>0.93119999999999992</v>
      </c>
    </row>
    <row r="29" spans="1:21" ht="15" thickBot="1">
      <c r="A29" s="46">
        <v>5000</v>
      </c>
      <c r="B29" s="48">
        <v>0.95</v>
      </c>
      <c r="C29" s="48">
        <v>0.96</v>
      </c>
      <c r="D29" s="48">
        <f t="shared" si="0"/>
        <v>0.91199999999999992</v>
      </c>
    </row>
    <row r="30" spans="1:21" ht="15" thickBot="1">
      <c r="A30" s="47">
        <v>6000</v>
      </c>
      <c r="B30" s="49">
        <v>0.94</v>
      </c>
      <c r="C30" s="49">
        <v>0.95</v>
      </c>
      <c r="D30" s="49">
        <f t="shared" si="0"/>
        <v>0.8929999999999999</v>
      </c>
    </row>
    <row r="31" spans="1:21" ht="15" thickBot="1">
      <c r="A31" s="46">
        <v>7000</v>
      </c>
      <c r="B31" s="48">
        <v>0.92</v>
      </c>
      <c r="C31" s="48">
        <v>0.94</v>
      </c>
      <c r="D31" s="48">
        <f t="shared" si="0"/>
        <v>0.86480000000000001</v>
      </c>
    </row>
    <row r="32" spans="1:21" ht="15" thickBot="1">
      <c r="A32" s="47">
        <v>8000</v>
      </c>
      <c r="B32" s="49">
        <v>0.9</v>
      </c>
      <c r="C32" s="49">
        <v>0.94</v>
      </c>
      <c r="D32" s="49">
        <f t="shared" si="0"/>
        <v>0.84599999999999997</v>
      </c>
    </row>
    <row r="33" spans="1:4" ht="15" thickBot="1">
      <c r="A33" s="46">
        <v>9000</v>
      </c>
      <c r="B33" s="48">
        <v>0.86</v>
      </c>
      <c r="C33" s="48">
        <v>0.93</v>
      </c>
      <c r="D33" s="48">
        <f t="shared" si="0"/>
        <v>0.79980000000000007</v>
      </c>
    </row>
    <row r="34" spans="1:4" ht="15" thickBot="1">
      <c r="A34" s="47">
        <v>10000</v>
      </c>
      <c r="B34" s="49">
        <v>0.82</v>
      </c>
      <c r="C34" s="49">
        <v>0.92</v>
      </c>
      <c r="D34" s="49">
        <f t="shared" si="0"/>
        <v>0.75439999999999996</v>
      </c>
    </row>
  </sheetData>
  <mergeCells count="2">
    <mergeCell ref="C3:D3"/>
    <mergeCell ref="A3:B3"/>
  </mergeCells>
  <hyperlinks>
    <hyperlink ref="K1" r:id="rId1"/>
  </hyperlinks>
  <pageMargins left="0.25" right="0.25" top="0.25" bottom="0.25" header="0.3" footer="0.3"/>
  <pageSetup scale="33" orientation="portrait" horizontalDpi="4294967293" verticalDpi="0"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54"/>
  <sheetViews>
    <sheetView zoomScale="85" zoomScaleNormal="85" workbookViewId="0"/>
  </sheetViews>
  <sheetFormatPr defaultColWidth="8.88671875" defaultRowHeight="13.8"/>
  <cols>
    <col min="1" max="1" width="10.88671875" style="51" bestFit="1" customWidth="1"/>
    <col min="2" max="2" width="29.33203125" style="51" customWidth="1"/>
    <col min="3" max="3" width="17" style="51" customWidth="1"/>
    <col min="4" max="4" width="16.44140625" style="51" bestFit="1" customWidth="1"/>
    <col min="5" max="5" width="18.88671875" style="51" customWidth="1"/>
    <col min="6" max="7" width="9.6640625" style="51" customWidth="1"/>
    <col min="8" max="10" width="9.109375" style="51" customWidth="1"/>
    <col min="11" max="12" width="8.88671875" style="51" customWidth="1"/>
    <col min="13" max="13" width="8.88671875" style="51"/>
    <col min="14" max="14" width="9.6640625" style="51" bestFit="1" customWidth="1"/>
    <col min="15" max="15" width="4.6640625" style="51" bestFit="1" customWidth="1"/>
    <col min="16" max="16" width="6.88671875" style="51" bestFit="1" customWidth="1"/>
    <col min="17" max="17" width="7" style="51" bestFit="1" customWidth="1"/>
    <col min="18" max="18" width="7.109375" style="51" bestFit="1" customWidth="1"/>
    <col min="19" max="19" width="4.6640625" style="51" bestFit="1" customWidth="1"/>
    <col min="20" max="20" width="6.88671875" style="51" bestFit="1" customWidth="1"/>
    <col min="21" max="21" width="7" style="51" bestFit="1" customWidth="1"/>
    <col min="22" max="22" width="7.109375" style="51" bestFit="1" customWidth="1"/>
    <col min="23" max="23" width="5.6640625" style="51" bestFit="1" customWidth="1"/>
    <col min="24" max="24" width="6.88671875" style="51" bestFit="1" customWidth="1"/>
    <col min="25" max="25" width="7" style="51" bestFit="1" customWidth="1"/>
    <col min="26" max="26" width="7.109375" style="51" bestFit="1" customWidth="1"/>
    <col min="27" max="27" width="5.6640625" style="52" bestFit="1" customWidth="1"/>
    <col min="28" max="28" width="6.88671875" style="51" bestFit="1" customWidth="1"/>
    <col min="29" max="29" width="7" style="51" bestFit="1" customWidth="1"/>
    <col min="30" max="30" width="7.109375" style="51" bestFit="1" customWidth="1"/>
    <col min="31" max="31" width="5.6640625" style="51" bestFit="1" customWidth="1"/>
    <col min="32" max="32" width="6.88671875" style="51" bestFit="1" customWidth="1"/>
    <col min="33" max="33" width="7" style="51" bestFit="1" customWidth="1"/>
    <col min="34" max="34" width="7.109375" style="51" bestFit="1" customWidth="1"/>
    <col min="35" max="35" width="5.6640625" style="51" bestFit="1" customWidth="1"/>
    <col min="36" max="36" width="6.88671875" style="51" bestFit="1" customWidth="1"/>
    <col min="37" max="37" width="7" style="51" bestFit="1" customWidth="1"/>
    <col min="38" max="38" width="7.109375" style="51" bestFit="1" customWidth="1"/>
    <col min="39" max="39" width="9.6640625" style="51" bestFit="1" customWidth="1"/>
    <col min="40" max="40" width="9.109375" style="51" bestFit="1" customWidth="1"/>
    <col min="41" max="44" width="9.6640625" style="51" bestFit="1" customWidth="1"/>
    <col min="45" max="45" width="9.109375" style="51" bestFit="1" customWidth="1"/>
    <col min="46" max="48" width="8.88671875" style="51"/>
    <col min="49" max="49" width="9.6640625" style="51" bestFit="1" customWidth="1"/>
    <col min="50" max="50" width="9.109375" style="51" bestFit="1" customWidth="1"/>
    <col min="51" max="54" width="9.6640625" style="51" bestFit="1" customWidth="1"/>
    <col min="55" max="55" width="9.109375" style="51" bestFit="1" customWidth="1"/>
    <col min="56" max="58" width="8.88671875" style="51"/>
    <col min="59" max="59" width="9.6640625" style="51" bestFit="1" customWidth="1"/>
    <col min="60" max="60" width="9.109375" style="51" bestFit="1" customWidth="1"/>
    <col min="61" max="64" width="9.6640625" style="51" bestFit="1" customWidth="1"/>
    <col min="65" max="65" width="9.109375" style="51" bestFit="1" customWidth="1"/>
    <col min="66" max="16384" width="8.88671875" style="51"/>
  </cols>
  <sheetData>
    <row r="1" spans="1:65">
      <c r="A1" s="50" t="s">
        <v>39</v>
      </c>
    </row>
    <row r="3" spans="1:65" ht="14.4" thickBot="1">
      <c r="B3" s="53" t="s">
        <v>40</v>
      </c>
      <c r="C3" s="54"/>
      <c r="D3" s="54"/>
      <c r="E3" s="55"/>
      <c r="F3" s="55"/>
      <c r="G3" s="55"/>
      <c r="H3" s="55"/>
      <c r="I3" s="55"/>
      <c r="J3" s="55"/>
      <c r="K3" s="55"/>
      <c r="L3" s="55"/>
      <c r="M3" s="55"/>
      <c r="N3" s="55"/>
      <c r="O3" s="55"/>
      <c r="P3" s="55"/>
      <c r="Q3" s="55"/>
      <c r="R3" s="55"/>
      <c r="S3" s="55"/>
      <c r="T3" s="55"/>
      <c r="U3" s="55"/>
      <c r="V3" s="55"/>
      <c r="W3" s="55"/>
      <c r="X3" s="55"/>
      <c r="Y3" s="55"/>
      <c r="Z3" s="55"/>
      <c r="AA3" s="56"/>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row>
    <row r="4" spans="1:65">
      <c r="B4" s="57" t="s">
        <v>41</v>
      </c>
      <c r="C4" s="57" t="s">
        <v>42</v>
      </c>
      <c r="D4" s="58" t="s">
        <v>43</v>
      </c>
      <c r="E4" s="55"/>
      <c r="F4" s="55"/>
      <c r="G4" s="55"/>
      <c r="H4" s="55"/>
      <c r="I4" s="55"/>
      <c r="J4" s="55"/>
      <c r="K4" s="55"/>
      <c r="L4" s="55"/>
      <c r="M4" s="55"/>
      <c r="O4" s="55"/>
      <c r="P4" s="55"/>
      <c r="Q4" s="55"/>
      <c r="R4" s="55"/>
      <c r="S4" s="55"/>
      <c r="T4" s="55"/>
      <c r="U4" s="55"/>
      <c r="V4" s="55"/>
      <c r="W4" s="55"/>
      <c r="X4" s="55"/>
      <c r="Y4" s="55"/>
      <c r="Z4" s="55"/>
      <c r="AA4" s="56"/>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row>
    <row r="5" spans="1:65">
      <c r="B5" s="60" t="s">
        <v>44</v>
      </c>
      <c r="C5" s="61">
        <v>25</v>
      </c>
      <c r="D5" s="62">
        <v>10</v>
      </c>
      <c r="E5" s="55"/>
      <c r="F5" s="55"/>
      <c r="G5" s="55"/>
      <c r="H5" s="55"/>
      <c r="I5" s="55"/>
      <c r="J5" s="55"/>
      <c r="K5" s="55"/>
      <c r="L5" s="55"/>
      <c r="M5" s="55"/>
      <c r="N5" s="55"/>
      <c r="O5" s="55"/>
      <c r="P5" s="55"/>
      <c r="Q5" s="55"/>
      <c r="R5" s="55"/>
      <c r="S5" s="55"/>
      <c r="T5" s="55"/>
      <c r="U5" s="55"/>
      <c r="V5" s="55"/>
      <c r="W5" s="55"/>
      <c r="X5" s="55"/>
      <c r="Y5" s="55"/>
      <c r="Z5" s="55"/>
      <c r="AA5" s="56"/>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row>
    <row r="6" spans="1:65">
      <c r="B6" s="63" t="s">
        <v>45</v>
      </c>
      <c r="C6" s="64">
        <v>30</v>
      </c>
      <c r="D6" s="65">
        <v>20</v>
      </c>
      <c r="E6" s="55"/>
      <c r="F6" s="55"/>
      <c r="G6" s="55"/>
      <c r="H6" s="55"/>
      <c r="I6" s="55"/>
      <c r="J6" s="55"/>
      <c r="K6" s="55"/>
      <c r="L6" s="55"/>
      <c r="M6" s="55"/>
      <c r="N6" s="55"/>
      <c r="O6" s="55"/>
      <c r="P6" s="55"/>
      <c r="Q6" s="55"/>
      <c r="R6" s="55"/>
      <c r="S6" s="55"/>
      <c r="T6" s="55"/>
      <c r="U6" s="55"/>
      <c r="V6" s="55"/>
      <c r="W6" s="55"/>
      <c r="X6" s="55"/>
      <c r="Y6" s="55"/>
      <c r="Z6" s="55"/>
      <c r="AA6" s="56"/>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row>
    <row r="7" spans="1:65">
      <c r="B7" s="66" t="s">
        <v>46</v>
      </c>
      <c r="C7" s="61">
        <v>50</v>
      </c>
      <c r="D7" s="62">
        <v>25</v>
      </c>
      <c r="E7" s="55"/>
      <c r="F7" s="55"/>
      <c r="G7" s="55"/>
      <c r="H7" s="55"/>
      <c r="I7" s="55"/>
      <c r="J7" s="55"/>
      <c r="K7" s="55"/>
      <c r="L7" s="55"/>
      <c r="M7" s="55"/>
      <c r="N7" s="55"/>
      <c r="O7" s="55"/>
      <c r="P7" s="55"/>
      <c r="Q7" s="55"/>
      <c r="R7" s="55"/>
      <c r="S7" s="55"/>
      <c r="T7" s="55"/>
      <c r="U7" s="55"/>
      <c r="V7" s="55"/>
      <c r="W7" s="55"/>
      <c r="X7" s="55"/>
      <c r="Y7" s="55"/>
      <c r="Z7" s="55"/>
      <c r="AA7" s="56"/>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row>
    <row r="8" spans="1:65">
      <c r="B8" s="60" t="s">
        <v>47</v>
      </c>
      <c r="C8" s="61">
        <v>50</v>
      </c>
      <c r="D8" s="62">
        <v>25</v>
      </c>
      <c r="E8" s="55"/>
      <c r="F8" s="55"/>
      <c r="G8" s="55"/>
      <c r="H8" s="55"/>
      <c r="I8" s="55"/>
      <c r="J8" s="55"/>
      <c r="K8" s="55"/>
      <c r="L8" s="55"/>
      <c r="M8" s="55"/>
      <c r="N8" s="55"/>
      <c r="O8" s="55"/>
      <c r="P8" s="55"/>
      <c r="Q8" s="55"/>
      <c r="R8" s="55"/>
      <c r="S8" s="55"/>
      <c r="T8" s="55"/>
      <c r="U8" s="55"/>
      <c r="V8" s="55"/>
      <c r="W8" s="55"/>
      <c r="X8" s="55"/>
      <c r="Y8" s="55"/>
      <c r="Z8" s="55"/>
      <c r="AA8" s="56"/>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row>
    <row r="9" spans="1:65">
      <c r="B9" s="60" t="s">
        <v>48</v>
      </c>
      <c r="C9" s="61">
        <v>65</v>
      </c>
      <c r="D9" s="62">
        <v>30</v>
      </c>
      <c r="E9" s="55"/>
      <c r="F9" s="55"/>
      <c r="G9" s="55"/>
      <c r="H9" s="55"/>
      <c r="I9" s="55"/>
      <c r="J9" s="55"/>
      <c r="K9" s="55"/>
      <c r="L9" s="55"/>
      <c r="M9" s="55"/>
      <c r="N9" s="55"/>
      <c r="O9" s="55"/>
      <c r="P9" s="55"/>
      <c r="Q9" s="55"/>
      <c r="R9" s="55"/>
      <c r="S9" s="55"/>
      <c r="T9" s="55"/>
      <c r="U9" s="55"/>
      <c r="V9" s="55"/>
      <c r="W9" s="55"/>
      <c r="X9" s="55"/>
      <c r="Y9" s="55"/>
      <c r="Z9" s="55"/>
      <c r="AA9" s="56"/>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row>
    <row r="10" spans="1:65">
      <c r="B10" s="60" t="s">
        <v>49</v>
      </c>
      <c r="C10" s="61">
        <v>65</v>
      </c>
      <c r="D10" s="62">
        <v>30</v>
      </c>
      <c r="E10" s="55"/>
      <c r="F10" s="55"/>
      <c r="G10" s="55"/>
      <c r="H10" s="55"/>
      <c r="I10" s="55"/>
      <c r="J10" s="55"/>
      <c r="K10" s="55"/>
      <c r="L10" s="55"/>
      <c r="M10" s="55"/>
      <c r="N10" s="55"/>
      <c r="O10" s="55"/>
      <c r="P10" s="55"/>
      <c r="Q10" s="55"/>
      <c r="R10" s="55"/>
      <c r="S10" s="55"/>
      <c r="T10" s="55"/>
      <c r="U10" s="55"/>
      <c r="V10" s="55"/>
      <c r="W10" s="55"/>
      <c r="X10" s="55"/>
      <c r="Y10" s="55"/>
      <c r="Z10" s="55"/>
      <c r="AA10" s="56"/>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row>
    <row r="11" spans="1:65">
      <c r="B11" s="60" t="s">
        <v>50</v>
      </c>
      <c r="C11" s="61">
        <v>65</v>
      </c>
      <c r="D11" s="62">
        <v>30</v>
      </c>
      <c r="E11" s="55"/>
      <c r="F11" s="55"/>
      <c r="G11" s="55"/>
      <c r="H11" s="55"/>
      <c r="I11" s="55"/>
      <c r="J11" s="55"/>
      <c r="K11" s="55"/>
      <c r="L11" s="55"/>
      <c r="M11" s="55"/>
      <c r="N11" s="55"/>
      <c r="O11" s="55"/>
      <c r="P11" s="55"/>
      <c r="Q11" s="55"/>
      <c r="R11" s="55"/>
      <c r="S11" s="55"/>
      <c r="T11" s="55"/>
      <c r="U11" s="55"/>
      <c r="V11" s="55"/>
      <c r="W11" s="55"/>
      <c r="X11" s="55"/>
      <c r="Y11" s="55"/>
      <c r="Z11" s="55"/>
      <c r="AA11" s="56"/>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row>
    <row r="12" spans="1:65" ht="14.4" thickBot="1">
      <c r="B12" s="67" t="s">
        <v>51</v>
      </c>
      <c r="C12" s="68">
        <v>65</v>
      </c>
      <c r="D12" s="69">
        <v>30</v>
      </c>
      <c r="E12" s="55"/>
      <c r="F12" s="55"/>
      <c r="G12" s="55"/>
      <c r="H12" s="55"/>
      <c r="I12" s="55"/>
      <c r="J12" s="55"/>
      <c r="K12" s="55"/>
      <c r="L12" s="55"/>
      <c r="M12" s="55"/>
      <c r="N12" s="55"/>
      <c r="O12" s="55"/>
      <c r="P12" s="55"/>
      <c r="Q12" s="55"/>
      <c r="R12" s="55"/>
      <c r="S12" s="250"/>
      <c r="T12" s="250"/>
      <c r="U12" s="250"/>
      <c r="V12" s="55"/>
      <c r="W12" s="55"/>
      <c r="X12" s="55"/>
      <c r="Y12" s="55"/>
      <c r="Z12" s="55"/>
      <c r="AA12" s="56"/>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row>
    <row r="13" spans="1:65" s="52" customFormat="1" ht="14.4" thickBot="1">
      <c r="B13" s="70"/>
      <c r="C13" s="70"/>
      <c r="D13" s="70"/>
      <c r="E13" s="56"/>
      <c r="F13" s="56"/>
      <c r="G13" s="56"/>
      <c r="H13" s="56"/>
      <c r="I13" s="56"/>
      <c r="J13" s="56"/>
      <c r="K13" s="56"/>
      <c r="L13" s="56"/>
      <c r="M13" s="56"/>
      <c r="N13" s="56"/>
      <c r="O13" s="56"/>
      <c r="P13" s="56"/>
      <c r="Q13" s="56"/>
      <c r="R13" s="56"/>
      <c r="S13" s="251"/>
      <c r="T13" s="251"/>
      <c r="U13" s="251"/>
      <c r="V13" s="56"/>
      <c r="W13" s="56"/>
      <c r="X13" s="56"/>
      <c r="Y13" s="56"/>
      <c r="Z13" s="56"/>
      <c r="AA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row>
    <row r="14" spans="1:65" ht="14.4" thickBot="1">
      <c r="B14" s="540" t="s">
        <v>115</v>
      </c>
      <c r="C14" s="541"/>
      <c r="D14" s="541"/>
      <c r="E14" s="542"/>
      <c r="F14" s="55"/>
      <c r="G14" s="55"/>
      <c r="H14" s="55"/>
      <c r="I14" s="55"/>
      <c r="J14" s="55"/>
      <c r="K14" s="55"/>
      <c r="L14" s="55"/>
      <c r="M14" s="55"/>
      <c r="N14" s="55"/>
      <c r="O14" s="55"/>
      <c r="P14" s="55"/>
      <c r="Q14" s="55"/>
      <c r="R14" s="55"/>
      <c r="S14" s="250"/>
      <c r="T14" s="250"/>
      <c r="U14" s="250"/>
      <c r="V14" s="55"/>
      <c r="W14" s="55"/>
      <c r="X14" s="55"/>
      <c r="Y14" s="55"/>
      <c r="Z14" s="55"/>
      <c r="AA14" s="56"/>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row>
    <row r="15" spans="1:65" ht="14.4" thickBot="1">
      <c r="B15" s="71" t="s">
        <v>116</v>
      </c>
      <c r="C15" s="72" t="s">
        <v>117</v>
      </c>
      <c r="D15" s="72" t="s">
        <v>118</v>
      </c>
      <c r="E15" s="73" t="s">
        <v>119</v>
      </c>
      <c r="F15" s="55"/>
      <c r="G15" s="55"/>
      <c r="H15" s="55"/>
      <c r="I15" s="55"/>
      <c r="J15" s="55"/>
      <c r="K15" s="55"/>
      <c r="L15" s="55"/>
      <c r="M15" s="55"/>
      <c r="N15" s="55"/>
      <c r="O15" s="55"/>
      <c r="P15" s="55"/>
      <c r="Q15" s="55"/>
      <c r="R15" s="55"/>
      <c r="S15" s="250"/>
      <c r="T15" s="250"/>
      <c r="U15" s="250"/>
      <c r="V15" s="55"/>
      <c r="W15" s="55"/>
      <c r="X15" s="55"/>
      <c r="Y15" s="55"/>
      <c r="Z15" s="55"/>
      <c r="AA15" s="56"/>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row>
    <row r="16" spans="1:65" s="74" customFormat="1">
      <c r="B16" s="75">
        <v>0</v>
      </c>
      <c r="C16" s="76">
        <v>16.399999999999999</v>
      </c>
      <c r="D16" s="77">
        <v>1</v>
      </c>
      <c r="E16" s="78">
        <v>1</v>
      </c>
      <c r="F16" s="79"/>
      <c r="G16" s="79"/>
      <c r="H16" s="79"/>
      <c r="I16" s="79"/>
      <c r="J16" s="79"/>
      <c r="K16" s="79"/>
      <c r="L16" s="79"/>
      <c r="S16" s="252"/>
      <c r="T16" s="253"/>
      <c r="U16" s="253"/>
      <c r="AA16" s="80"/>
    </row>
    <row r="17" spans="2:65" s="74" customFormat="1">
      <c r="B17" s="81">
        <v>16.399999999999999</v>
      </c>
      <c r="C17" s="82">
        <v>49.2</v>
      </c>
      <c r="D17" s="83">
        <v>0.97199999999999998</v>
      </c>
      <c r="E17" s="84">
        <v>0.98699999999999999</v>
      </c>
      <c r="F17" s="79"/>
      <c r="G17" s="79"/>
      <c r="H17" s="79"/>
      <c r="I17" s="79"/>
      <c r="J17" s="79"/>
      <c r="K17" s="79"/>
      <c r="L17" s="79"/>
      <c r="S17" s="253"/>
      <c r="T17" s="253"/>
      <c r="U17" s="253"/>
      <c r="AA17" s="85"/>
    </row>
    <row r="18" spans="2:65">
      <c r="B18" s="81">
        <v>49.2</v>
      </c>
      <c r="C18" s="82">
        <v>82</v>
      </c>
      <c r="D18" s="83">
        <v>0.94499999999999995</v>
      </c>
      <c r="E18" s="84">
        <v>0.97499999999999998</v>
      </c>
      <c r="F18" s="55"/>
      <c r="G18" s="55"/>
      <c r="H18" s="55"/>
      <c r="I18" s="55"/>
      <c r="J18" s="55"/>
      <c r="K18" s="55"/>
      <c r="L18" s="55"/>
      <c r="AA18" s="86"/>
    </row>
    <row r="19" spans="2:65">
      <c r="B19" s="81">
        <v>82</v>
      </c>
      <c r="C19" s="82">
        <v>114.8</v>
      </c>
      <c r="D19" s="83">
        <v>0.91700000000000004</v>
      </c>
      <c r="E19" s="84">
        <v>0.96199999999999997</v>
      </c>
      <c r="F19" s="55"/>
      <c r="G19" s="55"/>
      <c r="H19" s="55"/>
      <c r="I19" s="55"/>
      <c r="J19" s="55"/>
      <c r="K19" s="55"/>
      <c r="L19" s="55"/>
      <c r="AA19" s="87"/>
    </row>
    <row r="20" spans="2:65">
      <c r="B20" s="81">
        <v>114.8</v>
      </c>
      <c r="C20" s="82">
        <v>164.1</v>
      </c>
      <c r="D20" s="83">
        <v>0.876</v>
      </c>
      <c r="E20" s="84">
        <v>0.94299999999999995</v>
      </c>
      <c r="F20" s="55"/>
      <c r="G20" s="55"/>
      <c r="H20" s="55"/>
      <c r="I20" s="55"/>
      <c r="J20" s="55"/>
      <c r="K20" s="55"/>
      <c r="L20" s="55"/>
    </row>
    <row r="21" spans="2:65" ht="14.4" thickBot="1">
      <c r="B21" s="88">
        <v>164.1</v>
      </c>
      <c r="C21" s="89">
        <v>328</v>
      </c>
      <c r="D21" s="90">
        <v>0.876</v>
      </c>
      <c r="E21" s="91">
        <v>0.94299999999999995</v>
      </c>
      <c r="F21" s="55"/>
      <c r="G21" s="55"/>
      <c r="H21" s="55"/>
      <c r="I21" s="55"/>
      <c r="J21" s="55"/>
      <c r="K21" s="55"/>
      <c r="L21" s="55"/>
      <c r="AA21" s="87"/>
    </row>
    <row r="22" spans="2:65">
      <c r="B22" s="55"/>
      <c r="C22" s="55"/>
      <c r="D22" s="55"/>
      <c r="E22" s="55"/>
      <c r="F22" s="55"/>
      <c r="G22" s="55"/>
      <c r="H22" s="55"/>
      <c r="I22" s="55"/>
      <c r="J22" s="55"/>
      <c r="K22" s="55"/>
      <c r="L22" s="55"/>
    </row>
    <row r="23" spans="2:6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6"/>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row>
    <row r="24" spans="2:65">
      <c r="B24" s="55"/>
      <c r="C24" s="55"/>
      <c r="D24" s="55"/>
      <c r="E24" s="55"/>
      <c r="F24" s="55"/>
      <c r="G24" s="55"/>
      <c r="H24" s="55"/>
      <c r="I24" s="55"/>
      <c r="J24" s="55"/>
      <c r="K24" s="55"/>
      <c r="L24" s="55"/>
      <c r="M24" s="55"/>
      <c r="N24" s="55"/>
      <c r="AA24" s="51"/>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row>
    <row r="25" spans="2:65" ht="14.4" thickBot="1">
      <c r="B25" s="55"/>
      <c r="C25" s="55"/>
      <c r="D25" s="55"/>
      <c r="E25" s="55"/>
      <c r="F25" s="55"/>
      <c r="G25" s="55"/>
      <c r="H25" s="55"/>
      <c r="I25" s="55"/>
      <c r="J25" s="55"/>
      <c r="K25" s="55"/>
      <c r="L25" s="55"/>
      <c r="AA25" s="51"/>
      <c r="AM25" s="55"/>
      <c r="AN25" s="55"/>
      <c r="AO25" s="55"/>
      <c r="AP25" s="55"/>
      <c r="AQ25" s="55"/>
      <c r="AR25" s="55"/>
      <c r="AS25" s="55"/>
      <c r="AT25" s="55"/>
      <c r="AU25" s="55"/>
      <c r="AV25" s="55"/>
      <c r="AW25" s="55"/>
      <c r="AX25" s="55"/>
      <c r="AY25" s="55"/>
      <c r="AZ25" s="55"/>
      <c r="BA25" s="55"/>
      <c r="BB25" s="55"/>
      <c r="BC25" s="55"/>
    </row>
    <row r="26" spans="2:65">
      <c r="B26" s="55"/>
      <c r="C26" s="55"/>
      <c r="D26" s="55"/>
      <c r="E26" s="55"/>
      <c r="F26" s="55"/>
      <c r="G26" s="55"/>
      <c r="H26" s="55"/>
      <c r="I26" s="55"/>
      <c r="J26" s="55"/>
      <c r="K26" s="59"/>
      <c r="L26" s="108" t="s">
        <v>122</v>
      </c>
      <c r="M26" s="109">
        <f>MAX('Multizone Sizing Tool'!O29:O33)</f>
        <v>45</v>
      </c>
      <c r="AA26" s="51"/>
      <c r="AM26" s="55"/>
      <c r="AN26" s="55"/>
      <c r="AO26" s="55"/>
      <c r="AP26" s="55"/>
      <c r="AQ26" s="55"/>
      <c r="AR26" s="55"/>
      <c r="AS26" s="55"/>
      <c r="AT26" s="55"/>
      <c r="AU26" s="55"/>
      <c r="AV26" s="55"/>
      <c r="AW26" s="55"/>
      <c r="AX26" s="55"/>
      <c r="AY26" s="55"/>
      <c r="AZ26" s="55"/>
      <c r="BA26" s="55"/>
      <c r="BB26" s="55"/>
      <c r="BC26" s="55"/>
    </row>
    <row r="27" spans="2:65">
      <c r="K27" s="55"/>
      <c r="L27" s="55"/>
      <c r="M27" s="55"/>
      <c r="N27" s="55"/>
      <c r="O27" s="55"/>
      <c r="P27" s="55"/>
      <c r="Q27" s="55"/>
      <c r="S27" s="55"/>
      <c r="T27" s="55"/>
      <c r="U27" s="55"/>
      <c r="V27" s="55"/>
      <c r="W27" s="55"/>
      <c r="X27" s="55"/>
      <c r="Y27" s="55"/>
      <c r="Z27" s="55"/>
      <c r="AA27" s="56"/>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row>
    <row r="28" spans="2:65" ht="14.4" thickBot="1">
      <c r="B28" s="101" t="s">
        <v>56</v>
      </c>
      <c r="C28" s="93"/>
      <c r="D28" s="93"/>
      <c r="E28" s="93"/>
      <c r="F28" s="93"/>
      <c r="G28" s="93"/>
      <c r="H28" s="93"/>
      <c r="I28" s="93"/>
      <c r="J28" s="93"/>
      <c r="K28" s="55"/>
      <c r="L28" s="55"/>
      <c r="M28" s="55"/>
      <c r="N28" s="55"/>
      <c r="O28" s="55"/>
      <c r="P28" s="55"/>
      <c r="Q28" s="55"/>
      <c r="R28" s="55"/>
      <c r="S28" s="55"/>
      <c r="T28" s="55"/>
      <c r="U28" s="55"/>
      <c r="V28" s="55"/>
      <c r="W28" s="55"/>
      <c r="X28" s="55"/>
      <c r="Y28" s="56"/>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row>
    <row r="29" spans="2:65">
      <c r="B29" s="94">
        <v>12</v>
      </c>
      <c r="C29" s="102" t="s">
        <v>121</v>
      </c>
      <c r="D29" s="106">
        <f>D30*3.2808</f>
        <v>9.8424000000000014</v>
      </c>
      <c r="E29" s="106">
        <f>E30*3.2808</f>
        <v>16.404</v>
      </c>
      <c r="F29" s="106">
        <f>F30*3.2808</f>
        <v>32.808</v>
      </c>
      <c r="G29" s="106">
        <f>G30*3.2808</f>
        <v>65.616</v>
      </c>
      <c r="H29" s="106">
        <f>H30*3.2808</f>
        <v>82.02000000000001</v>
      </c>
      <c r="I29" s="106"/>
      <c r="J29" s="107"/>
      <c r="K29" s="55"/>
      <c r="L29" s="55"/>
      <c r="M29" s="55"/>
      <c r="N29" s="55"/>
      <c r="O29" s="55"/>
      <c r="P29" s="55"/>
      <c r="Q29" s="55"/>
      <c r="R29" s="55"/>
      <c r="S29" s="55"/>
      <c r="T29" s="55"/>
      <c r="U29" s="55"/>
      <c r="V29" s="55"/>
      <c r="W29" s="55"/>
      <c r="X29" s="55"/>
      <c r="Y29" s="56"/>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row>
    <row r="30" spans="2:65">
      <c r="B30" s="95">
        <v>12</v>
      </c>
      <c r="C30" s="103" t="s">
        <v>120</v>
      </c>
      <c r="D30" s="104">
        <v>3</v>
      </c>
      <c r="E30" s="104">
        <v>5</v>
      </c>
      <c r="F30" s="104">
        <v>10</v>
      </c>
      <c r="G30" s="104">
        <v>20</v>
      </c>
      <c r="H30" s="104">
        <v>25</v>
      </c>
      <c r="I30" s="104"/>
      <c r="J30" s="105"/>
      <c r="K30" s="55"/>
      <c r="L30" s="55"/>
      <c r="M30" s="55"/>
      <c r="N30" s="55"/>
      <c r="O30" s="55"/>
      <c r="P30" s="55"/>
      <c r="Q30" s="55"/>
      <c r="R30" s="55"/>
      <c r="S30" s="55"/>
      <c r="T30" s="55"/>
      <c r="U30" s="55"/>
      <c r="V30" s="55"/>
      <c r="W30" s="55"/>
      <c r="X30" s="55"/>
      <c r="Y30" s="56"/>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row>
    <row r="31" spans="2:65">
      <c r="B31" s="95">
        <v>12</v>
      </c>
      <c r="C31" s="92" t="s">
        <v>52</v>
      </c>
      <c r="D31" s="118">
        <v>1</v>
      </c>
      <c r="E31" s="118">
        <v>1</v>
      </c>
      <c r="F31" s="118">
        <v>0.98750000000000004</v>
      </c>
      <c r="G31" s="118">
        <v>0.96250000000000002</v>
      </c>
      <c r="H31" s="118">
        <v>0.95</v>
      </c>
      <c r="I31" s="118"/>
      <c r="J31" s="119"/>
      <c r="K31" s="55"/>
      <c r="L31" s="55"/>
      <c r="M31" s="55"/>
      <c r="N31" s="55"/>
      <c r="O31" s="55"/>
      <c r="P31" s="55"/>
      <c r="Q31" s="55"/>
      <c r="R31" s="55"/>
      <c r="S31" s="55"/>
      <c r="T31" s="55"/>
      <c r="U31" s="55"/>
      <c r="V31" s="55"/>
      <c r="W31" s="55"/>
      <c r="X31" s="55"/>
      <c r="Y31" s="56"/>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2:65" ht="14.4" thickBot="1">
      <c r="B32" s="96">
        <v>12</v>
      </c>
      <c r="C32" s="97" t="s">
        <v>53</v>
      </c>
      <c r="D32" s="120">
        <v>1</v>
      </c>
      <c r="E32" s="120">
        <v>1</v>
      </c>
      <c r="F32" s="120">
        <v>0.99249999999999994</v>
      </c>
      <c r="G32" s="120">
        <v>0.97749999999999992</v>
      </c>
      <c r="H32" s="120">
        <v>0.97</v>
      </c>
      <c r="I32" s="120"/>
      <c r="J32" s="121"/>
      <c r="K32" s="55"/>
      <c r="L32" s="55"/>
      <c r="M32" s="55"/>
      <c r="N32" s="55"/>
      <c r="O32" s="55"/>
      <c r="P32" s="55"/>
      <c r="Q32" s="55"/>
      <c r="R32" s="55"/>
      <c r="S32" s="55"/>
      <c r="T32" s="55"/>
      <c r="U32" s="55"/>
      <c r="V32" s="55"/>
      <c r="W32" s="55"/>
      <c r="X32" s="55"/>
      <c r="Y32" s="56"/>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2:66">
      <c r="B33" s="94">
        <v>18</v>
      </c>
      <c r="C33" s="102" t="s">
        <v>121</v>
      </c>
      <c r="D33" s="106">
        <f>D34*3.2808</f>
        <v>9.8424000000000014</v>
      </c>
      <c r="E33" s="106">
        <f>E34*3.2808</f>
        <v>16.404</v>
      </c>
      <c r="F33" s="106">
        <f>F34*3.2808</f>
        <v>32.808</v>
      </c>
      <c r="G33" s="106">
        <f>G34*3.2808</f>
        <v>65.616</v>
      </c>
      <c r="H33" s="106">
        <f>H34*3.2808</f>
        <v>98.424000000000007</v>
      </c>
      <c r="I33" s="106"/>
      <c r="J33" s="107"/>
      <c r="L33" s="55"/>
      <c r="M33" s="55"/>
      <c r="N33" s="55"/>
      <c r="O33" s="55"/>
      <c r="P33" s="55"/>
      <c r="Q33" s="55"/>
      <c r="R33" s="55"/>
      <c r="S33" s="55"/>
      <c r="T33" s="55"/>
      <c r="U33" s="55"/>
      <c r="V33" s="55"/>
      <c r="W33" s="55"/>
      <c r="X33" s="55"/>
      <c r="Y33" s="55"/>
      <c r="Z33" s="55"/>
      <c r="AA33" s="55"/>
      <c r="AB33" s="56"/>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row>
    <row r="34" spans="2:66">
      <c r="B34" s="95">
        <v>18</v>
      </c>
      <c r="C34" s="103" t="s">
        <v>120</v>
      </c>
      <c r="D34" s="104">
        <v>3</v>
      </c>
      <c r="E34" s="104">
        <v>5</v>
      </c>
      <c r="F34" s="104">
        <v>10</v>
      </c>
      <c r="G34" s="104">
        <v>20</v>
      </c>
      <c r="H34" s="104">
        <v>30</v>
      </c>
      <c r="I34" s="104"/>
      <c r="J34" s="105"/>
      <c r="L34" s="55"/>
      <c r="M34" s="55"/>
      <c r="N34" s="55"/>
      <c r="O34" s="55"/>
      <c r="P34" s="55"/>
      <c r="Q34" s="55"/>
      <c r="R34" s="55"/>
      <c r="S34" s="55"/>
      <c r="T34" s="55"/>
      <c r="U34" s="55"/>
      <c r="V34" s="55"/>
      <c r="W34" s="55"/>
      <c r="X34" s="55"/>
      <c r="Y34" s="55"/>
      <c r="Z34" s="55"/>
      <c r="AA34" s="55"/>
      <c r="AB34" s="56"/>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row>
    <row r="35" spans="2:66">
      <c r="B35" s="95">
        <v>18</v>
      </c>
      <c r="C35" s="92" t="s">
        <v>52</v>
      </c>
      <c r="D35" s="118">
        <v>1</v>
      </c>
      <c r="E35" s="118">
        <v>1</v>
      </c>
      <c r="F35" s="118">
        <v>0.98375000000000001</v>
      </c>
      <c r="G35" s="118">
        <v>0.95125000000000004</v>
      </c>
      <c r="H35" s="118">
        <v>0.93500000000000005</v>
      </c>
      <c r="I35" s="118"/>
      <c r="J35" s="119"/>
      <c r="L35" s="55"/>
      <c r="M35" s="55"/>
      <c r="N35" s="55"/>
      <c r="O35" s="55"/>
      <c r="P35" s="55"/>
      <c r="Q35" s="55"/>
      <c r="R35" s="55"/>
      <c r="S35" s="55"/>
      <c r="T35" s="55"/>
      <c r="U35" s="55"/>
      <c r="V35" s="55"/>
      <c r="W35" s="55"/>
      <c r="X35" s="55"/>
      <c r="Y35" s="55"/>
      <c r="Z35" s="55"/>
      <c r="AA35" s="55"/>
      <c r="AB35" s="56"/>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row>
    <row r="36" spans="2:66" ht="14.4" thickBot="1">
      <c r="B36" s="96">
        <v>18</v>
      </c>
      <c r="C36" s="97" t="s">
        <v>53</v>
      </c>
      <c r="D36" s="120">
        <v>1</v>
      </c>
      <c r="E36" s="120">
        <v>1</v>
      </c>
      <c r="F36" s="120">
        <v>0.99399999999999999</v>
      </c>
      <c r="G36" s="120">
        <v>0.98199999999999998</v>
      </c>
      <c r="H36" s="120">
        <v>0.97599999999999998</v>
      </c>
      <c r="I36" s="120"/>
      <c r="J36" s="121"/>
      <c r="L36" s="55"/>
      <c r="M36" s="55"/>
      <c r="N36" s="55"/>
      <c r="O36" s="55"/>
      <c r="P36" s="55"/>
      <c r="Q36" s="55"/>
      <c r="R36" s="55"/>
      <c r="S36" s="55"/>
      <c r="T36" s="55"/>
      <c r="U36" s="55"/>
      <c r="V36" s="55"/>
      <c r="W36" s="55"/>
      <c r="X36" s="55"/>
      <c r="Y36" s="55"/>
      <c r="Z36" s="55"/>
      <c r="AA36" s="55"/>
      <c r="AB36" s="56"/>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row>
    <row r="37" spans="2:66">
      <c r="B37" s="94">
        <v>24</v>
      </c>
      <c r="C37" s="102" t="s">
        <v>121</v>
      </c>
      <c r="D37" s="106">
        <f t="shared" ref="D37:J37" si="0">D38*3.2808</f>
        <v>9.8424000000000014</v>
      </c>
      <c r="E37" s="106">
        <f t="shared" si="0"/>
        <v>16.404</v>
      </c>
      <c r="F37" s="106">
        <f t="shared" si="0"/>
        <v>32.808</v>
      </c>
      <c r="G37" s="106">
        <f t="shared" si="0"/>
        <v>65.616</v>
      </c>
      <c r="H37" s="106">
        <f t="shared" si="0"/>
        <v>98.424000000000007</v>
      </c>
      <c r="I37" s="106">
        <f t="shared" si="0"/>
        <v>131.232</v>
      </c>
      <c r="J37" s="107">
        <f t="shared" si="0"/>
        <v>164.04000000000002</v>
      </c>
      <c r="L37" s="55"/>
      <c r="M37" s="55"/>
      <c r="N37" s="55"/>
      <c r="O37" s="55"/>
      <c r="P37" s="55"/>
      <c r="Q37" s="55"/>
      <c r="R37" s="55"/>
      <c r="S37" s="55"/>
      <c r="T37" s="55"/>
      <c r="U37" s="55"/>
      <c r="V37" s="55"/>
      <c r="W37" s="55"/>
      <c r="X37" s="55"/>
      <c r="Y37" s="55"/>
      <c r="Z37" s="55"/>
      <c r="AA37" s="55"/>
      <c r="AB37" s="56"/>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row>
    <row r="38" spans="2:66">
      <c r="B38" s="95">
        <v>24</v>
      </c>
      <c r="C38" s="103" t="s">
        <v>120</v>
      </c>
      <c r="D38" s="104">
        <v>3</v>
      </c>
      <c r="E38" s="104">
        <v>5</v>
      </c>
      <c r="F38" s="104">
        <v>10</v>
      </c>
      <c r="G38" s="104">
        <v>20</v>
      </c>
      <c r="H38" s="104">
        <v>30</v>
      </c>
      <c r="I38" s="104">
        <v>40</v>
      </c>
      <c r="J38" s="105">
        <v>50</v>
      </c>
      <c r="L38" s="55"/>
      <c r="M38" s="55"/>
      <c r="N38" s="55"/>
      <c r="O38" s="55"/>
      <c r="P38" s="55"/>
      <c r="Q38" s="55"/>
      <c r="R38" s="55"/>
      <c r="S38" s="55"/>
      <c r="T38" s="55"/>
      <c r="U38" s="55"/>
      <c r="V38" s="55"/>
      <c r="W38" s="55"/>
      <c r="X38" s="55"/>
      <c r="Y38" s="55"/>
      <c r="Z38" s="55"/>
      <c r="AA38" s="55"/>
      <c r="AB38" s="56"/>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row>
    <row r="39" spans="2:66">
      <c r="B39" s="95">
        <v>24</v>
      </c>
      <c r="C39" s="92" t="s">
        <v>52</v>
      </c>
      <c r="D39" s="118">
        <v>1</v>
      </c>
      <c r="E39" s="118">
        <v>1</v>
      </c>
      <c r="F39" s="118">
        <v>0.98944444444444446</v>
      </c>
      <c r="G39" s="118">
        <v>0.96833333333333338</v>
      </c>
      <c r="H39" s="118">
        <v>0.9472222222222223</v>
      </c>
      <c r="I39" s="118">
        <v>0.92611111111111122</v>
      </c>
      <c r="J39" s="119">
        <v>0.90500000000000003</v>
      </c>
      <c r="L39" s="55"/>
      <c r="M39" s="55"/>
      <c r="N39" s="55"/>
      <c r="O39" s="55"/>
      <c r="P39" s="55"/>
      <c r="Q39" s="55"/>
      <c r="R39" s="55"/>
      <c r="S39" s="55"/>
      <c r="T39" s="55"/>
      <c r="U39" s="55"/>
      <c r="V39" s="55"/>
      <c r="W39" s="55"/>
      <c r="X39" s="55"/>
      <c r="Y39" s="55"/>
      <c r="Z39" s="55"/>
      <c r="AA39" s="55"/>
      <c r="AB39" s="56"/>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row>
    <row r="40" spans="2:66" ht="14.4" thickBot="1">
      <c r="B40" s="96">
        <v>24</v>
      </c>
      <c r="C40" s="97" t="s">
        <v>53</v>
      </c>
      <c r="D40" s="120">
        <v>1</v>
      </c>
      <c r="E40" s="120">
        <v>1</v>
      </c>
      <c r="F40" s="120">
        <v>0.9966666666666667</v>
      </c>
      <c r="G40" s="120">
        <v>0.99</v>
      </c>
      <c r="H40" s="120">
        <v>0.98333333333333328</v>
      </c>
      <c r="I40" s="120">
        <v>0.97666666666666657</v>
      </c>
      <c r="J40" s="121">
        <v>0.97</v>
      </c>
      <c r="L40" s="55"/>
      <c r="M40" s="55"/>
      <c r="N40" s="55"/>
      <c r="O40" s="55"/>
      <c r="P40" s="55"/>
      <c r="Q40" s="55"/>
      <c r="R40" s="55"/>
      <c r="S40" s="55"/>
      <c r="T40" s="55"/>
      <c r="U40" s="55"/>
      <c r="V40" s="55"/>
      <c r="W40" s="55"/>
      <c r="X40" s="55"/>
      <c r="Y40" s="55"/>
      <c r="Z40" s="55"/>
      <c r="AA40" s="55"/>
      <c r="AB40" s="56"/>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row>
    <row r="41" spans="2:66">
      <c r="B41" s="98">
        <v>36</v>
      </c>
      <c r="C41" s="102" t="s">
        <v>121</v>
      </c>
      <c r="D41" s="106">
        <f t="shared" ref="D41:J41" si="1">D42*3.2808</f>
        <v>9.8424000000000014</v>
      </c>
      <c r="E41" s="106">
        <f t="shared" si="1"/>
        <v>16.404</v>
      </c>
      <c r="F41" s="106">
        <f t="shared" si="1"/>
        <v>49.212000000000003</v>
      </c>
      <c r="G41" s="106">
        <f t="shared" si="1"/>
        <v>82.02000000000001</v>
      </c>
      <c r="H41" s="106">
        <f t="shared" si="1"/>
        <v>114.828</v>
      </c>
      <c r="I41" s="106">
        <f t="shared" si="1"/>
        <v>164.04000000000002</v>
      </c>
      <c r="J41" s="107">
        <f t="shared" si="1"/>
        <v>213.25200000000001</v>
      </c>
      <c r="L41" s="55"/>
      <c r="M41" s="55"/>
      <c r="N41" s="55"/>
      <c r="O41" s="55"/>
      <c r="P41" s="55"/>
      <c r="Q41" s="55"/>
      <c r="R41" s="55"/>
      <c r="S41" s="55"/>
      <c r="T41" s="55"/>
      <c r="U41" s="55"/>
      <c r="V41" s="55"/>
      <c r="W41" s="55"/>
      <c r="X41" s="55"/>
      <c r="Y41" s="56"/>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2:66" ht="14.4" thickBot="1">
      <c r="B42" s="99">
        <v>36</v>
      </c>
      <c r="C42" s="103" t="s">
        <v>120</v>
      </c>
      <c r="D42" s="104">
        <v>3</v>
      </c>
      <c r="E42" s="104">
        <v>5</v>
      </c>
      <c r="F42" s="104">
        <v>15</v>
      </c>
      <c r="G42" s="104">
        <v>25</v>
      </c>
      <c r="H42" s="104">
        <v>35</v>
      </c>
      <c r="I42" s="104">
        <v>50</v>
      </c>
      <c r="J42" s="105">
        <v>65</v>
      </c>
      <c r="L42" s="55"/>
      <c r="M42" s="55"/>
      <c r="N42" s="55"/>
      <c r="O42" s="55"/>
      <c r="P42" s="55"/>
      <c r="Q42" s="55"/>
      <c r="R42" s="55"/>
      <c r="S42" s="55"/>
      <c r="T42" s="55"/>
      <c r="U42" s="55"/>
      <c r="V42" s="55"/>
      <c r="W42" s="55"/>
      <c r="X42" s="55"/>
      <c r="Y42" s="56"/>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2:66">
      <c r="B43" s="99">
        <v>36</v>
      </c>
      <c r="C43" s="92" t="s">
        <v>52</v>
      </c>
      <c r="D43" s="110">
        <v>1</v>
      </c>
      <c r="E43" s="110">
        <v>1</v>
      </c>
      <c r="F43" s="110">
        <v>0.97233333333333327</v>
      </c>
      <c r="G43" s="110">
        <v>0.94466666666666654</v>
      </c>
      <c r="H43" s="110">
        <v>0.91699999999999982</v>
      </c>
      <c r="I43" s="110">
        <v>0.87549999999999983</v>
      </c>
      <c r="J43" s="111">
        <v>0.83399999999999996</v>
      </c>
      <c r="K43" s="112"/>
      <c r="L43" s="113"/>
      <c r="M43" s="114">
        <f ca="1">FORECAST($M$26,OFFSET(D43:J43,0,MATCH($M$26,$D$41:$J$41,1)-1,1,2),OFFSET($D$41:$J$41,0,MATCH($M$26,$D$41:$J$41,1)-1,1,2))</f>
        <v>0.97588527188490604</v>
      </c>
      <c r="N43" s="55"/>
      <c r="O43" s="55"/>
      <c r="P43" s="55"/>
      <c r="Q43" s="55"/>
      <c r="R43" s="55"/>
      <c r="S43" s="55"/>
      <c r="T43" s="55"/>
      <c r="U43" s="55"/>
      <c r="V43" s="55"/>
      <c r="W43" s="55"/>
      <c r="X43" s="55"/>
      <c r="Y43" s="55"/>
      <c r="Z43" s="55"/>
      <c r="AA43" s="55"/>
      <c r="AB43" s="56"/>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row>
    <row r="44" spans="2:66" ht="14.4" thickBot="1">
      <c r="B44" s="100">
        <v>36</v>
      </c>
      <c r="C44" s="97" t="s">
        <v>53</v>
      </c>
      <c r="D44" s="115">
        <v>1</v>
      </c>
      <c r="E44" s="115">
        <v>1</v>
      </c>
      <c r="F44" s="115">
        <v>0.9873333333333334</v>
      </c>
      <c r="G44" s="115">
        <v>0.97466666666666679</v>
      </c>
      <c r="H44" s="115">
        <v>0.96200000000000019</v>
      </c>
      <c r="I44" s="115">
        <v>0.94300000000000017</v>
      </c>
      <c r="J44" s="116">
        <v>0.92400000000000004</v>
      </c>
      <c r="K44" s="112"/>
      <c r="L44" s="113"/>
      <c r="M44" s="117">
        <f ca="1">FORECAST($M$26,OFFSET(D44:J44,0,MATCH($M$26,$D$41:$J$41,1)-1,1,2),OFFSET($D$41:$J$41,0,MATCH($M$26,$D$41:$J$41,1)-1,1,2))</f>
        <v>0.98895952206778837</v>
      </c>
      <c r="N44" s="55"/>
      <c r="O44" s="55"/>
      <c r="P44" s="55"/>
      <c r="Q44" s="55"/>
      <c r="R44" s="55"/>
      <c r="S44" s="55"/>
      <c r="T44" s="55"/>
      <c r="U44" s="55"/>
      <c r="V44" s="55"/>
      <c r="W44" s="55"/>
      <c r="X44" s="55"/>
      <c r="Y44" s="55"/>
      <c r="Z44" s="55"/>
      <c r="AA44" s="55"/>
      <c r="AB44" s="56"/>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row>
    <row r="45" spans="2:66">
      <c r="B45" s="98">
        <v>42</v>
      </c>
      <c r="C45" s="102" t="s">
        <v>121</v>
      </c>
      <c r="D45" s="106">
        <f t="shared" ref="D45:J45" si="2">D46*3.2808</f>
        <v>9.8424000000000014</v>
      </c>
      <c r="E45" s="106">
        <f t="shared" si="2"/>
        <v>16.404</v>
      </c>
      <c r="F45" s="106">
        <f t="shared" si="2"/>
        <v>49.212000000000003</v>
      </c>
      <c r="G45" s="106">
        <f t="shared" si="2"/>
        <v>82.02000000000001</v>
      </c>
      <c r="H45" s="106">
        <f t="shared" si="2"/>
        <v>114.828</v>
      </c>
      <c r="I45" s="106">
        <f t="shared" si="2"/>
        <v>164.04000000000002</v>
      </c>
      <c r="J45" s="107">
        <f t="shared" si="2"/>
        <v>213.25200000000001</v>
      </c>
      <c r="L45" s="55"/>
      <c r="M45" s="55"/>
      <c r="N45" s="55"/>
      <c r="O45" s="55"/>
      <c r="P45" s="55"/>
      <c r="Q45" s="55"/>
      <c r="R45" s="55"/>
      <c r="S45" s="55"/>
      <c r="T45" s="55"/>
      <c r="U45" s="55"/>
      <c r="V45" s="55"/>
      <c r="W45" s="55"/>
      <c r="X45" s="55"/>
      <c r="Y45" s="55"/>
      <c r="Z45" s="55"/>
      <c r="AA45" s="55"/>
      <c r="AB45" s="56"/>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row>
    <row r="46" spans="2:66">
      <c r="B46" s="99">
        <v>42</v>
      </c>
      <c r="C46" s="103" t="s">
        <v>120</v>
      </c>
      <c r="D46" s="104">
        <v>3</v>
      </c>
      <c r="E46" s="104">
        <v>5</v>
      </c>
      <c r="F46" s="104">
        <v>15</v>
      </c>
      <c r="G46" s="104">
        <v>25</v>
      </c>
      <c r="H46" s="104">
        <v>35</v>
      </c>
      <c r="I46" s="104">
        <v>50</v>
      </c>
      <c r="J46" s="105">
        <v>65</v>
      </c>
      <c r="L46" s="55"/>
      <c r="M46" s="55"/>
      <c r="N46" s="55"/>
      <c r="O46" s="55"/>
      <c r="P46" s="55"/>
      <c r="Q46" s="55"/>
      <c r="R46" s="55"/>
      <c r="S46" s="55"/>
      <c r="T46" s="55"/>
      <c r="U46" s="55"/>
      <c r="V46" s="55"/>
      <c r="W46" s="55"/>
      <c r="X46" s="55"/>
      <c r="Y46" s="55"/>
      <c r="Z46" s="55"/>
      <c r="AA46" s="55"/>
      <c r="AB46" s="56"/>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row>
    <row r="47" spans="2:66">
      <c r="B47" s="99">
        <v>42</v>
      </c>
      <c r="C47" s="92" t="s">
        <v>52</v>
      </c>
      <c r="D47" s="118">
        <v>1</v>
      </c>
      <c r="E47" s="118">
        <v>1</v>
      </c>
      <c r="F47" s="118">
        <v>0.97099999999999997</v>
      </c>
      <c r="G47" s="118">
        <v>0.94199999999999995</v>
      </c>
      <c r="H47" s="118">
        <v>0.91299999999999992</v>
      </c>
      <c r="I47" s="118">
        <v>0.86949999999999994</v>
      </c>
      <c r="J47" s="119">
        <v>0.82599999999999996</v>
      </c>
      <c r="L47" s="55"/>
      <c r="M47" s="55"/>
      <c r="N47" s="55"/>
      <c r="O47" s="55"/>
      <c r="P47" s="55"/>
      <c r="Q47" s="55"/>
      <c r="R47" s="55"/>
      <c r="S47" s="55"/>
      <c r="T47" s="55"/>
      <c r="U47" s="55"/>
      <c r="V47" s="55"/>
      <c r="W47" s="55"/>
      <c r="X47" s="55"/>
      <c r="Y47" s="55"/>
      <c r="Z47" s="55"/>
      <c r="AA47" s="55"/>
      <c r="AB47" s="56"/>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row>
    <row r="48" spans="2:66" ht="14.4" thickBot="1">
      <c r="B48" s="100">
        <v>42</v>
      </c>
      <c r="C48" s="97" t="s">
        <v>53</v>
      </c>
      <c r="D48" s="120">
        <v>1</v>
      </c>
      <c r="E48" s="120">
        <v>1</v>
      </c>
      <c r="F48" s="120">
        <v>0.98666666666666669</v>
      </c>
      <c r="G48" s="120">
        <v>0.97333333333333338</v>
      </c>
      <c r="H48" s="120">
        <v>0.96000000000000008</v>
      </c>
      <c r="I48" s="120">
        <v>0.94000000000000006</v>
      </c>
      <c r="J48" s="121">
        <v>0.92</v>
      </c>
      <c r="L48" s="55"/>
      <c r="M48" s="55"/>
      <c r="N48" s="55"/>
      <c r="O48" s="55"/>
      <c r="P48" s="55"/>
      <c r="Q48" s="55"/>
      <c r="R48" s="55"/>
      <c r="S48" s="55"/>
      <c r="T48" s="55"/>
      <c r="U48" s="55"/>
      <c r="V48" s="55"/>
      <c r="W48" s="55"/>
      <c r="X48" s="55"/>
      <c r="Y48" s="55"/>
      <c r="Z48" s="55"/>
      <c r="AA48" s="55"/>
      <c r="AB48" s="56"/>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row>
    <row r="49" spans="2:66">
      <c r="B49" s="94">
        <v>48</v>
      </c>
      <c r="C49" s="102" t="s">
        <v>121</v>
      </c>
      <c r="D49" s="106">
        <f t="shared" ref="D49:J49" si="3">D50*3.2808</f>
        <v>9.8424000000000014</v>
      </c>
      <c r="E49" s="106">
        <f t="shared" si="3"/>
        <v>16.404</v>
      </c>
      <c r="F49" s="106">
        <f t="shared" si="3"/>
        <v>49.212000000000003</v>
      </c>
      <c r="G49" s="106">
        <f t="shared" si="3"/>
        <v>82.02000000000001</v>
      </c>
      <c r="H49" s="106">
        <f t="shared" si="3"/>
        <v>114.828</v>
      </c>
      <c r="I49" s="106">
        <f t="shared" si="3"/>
        <v>164.04000000000002</v>
      </c>
      <c r="J49" s="107">
        <f t="shared" si="3"/>
        <v>213.25200000000001</v>
      </c>
      <c r="L49" s="55"/>
      <c r="M49" s="55"/>
      <c r="N49" s="55"/>
      <c r="O49" s="55"/>
      <c r="P49" s="55"/>
      <c r="Q49" s="55"/>
      <c r="R49" s="55"/>
      <c r="S49" s="55"/>
      <c r="T49" s="55"/>
      <c r="U49" s="55"/>
      <c r="V49" s="55"/>
      <c r="W49" s="55"/>
      <c r="X49" s="55"/>
      <c r="Y49" s="55"/>
      <c r="Z49" s="55"/>
      <c r="AA49" s="55"/>
      <c r="AB49" s="56"/>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row>
    <row r="50" spans="2:66">
      <c r="B50" s="95">
        <v>48</v>
      </c>
      <c r="C50" s="103" t="s">
        <v>120</v>
      </c>
      <c r="D50" s="104">
        <v>3</v>
      </c>
      <c r="E50" s="104">
        <v>5</v>
      </c>
      <c r="F50" s="104">
        <v>15</v>
      </c>
      <c r="G50" s="104">
        <v>25</v>
      </c>
      <c r="H50" s="104">
        <v>35</v>
      </c>
      <c r="I50" s="104">
        <v>50</v>
      </c>
      <c r="J50" s="105">
        <v>65</v>
      </c>
      <c r="L50" s="55"/>
      <c r="M50" s="55"/>
      <c r="N50" s="55"/>
      <c r="O50" s="55"/>
      <c r="P50" s="55"/>
      <c r="Q50" s="55"/>
      <c r="R50" s="55"/>
      <c r="S50" s="55"/>
      <c r="T50" s="55"/>
      <c r="U50" s="55"/>
      <c r="V50" s="55"/>
      <c r="W50" s="55"/>
      <c r="X50" s="55"/>
      <c r="Y50" s="55"/>
      <c r="Z50" s="55"/>
      <c r="AA50" s="55"/>
      <c r="AB50" s="56"/>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row>
    <row r="51" spans="2:66">
      <c r="B51" s="95">
        <v>48</v>
      </c>
      <c r="C51" s="92" t="s">
        <v>52</v>
      </c>
      <c r="D51" s="118">
        <v>1</v>
      </c>
      <c r="E51" s="118">
        <v>1</v>
      </c>
      <c r="F51" s="118">
        <v>0.97066666666666668</v>
      </c>
      <c r="G51" s="118">
        <v>0.94133333333333336</v>
      </c>
      <c r="H51" s="118">
        <v>0.91200000000000003</v>
      </c>
      <c r="I51" s="118">
        <v>0.86799999999999999</v>
      </c>
      <c r="J51" s="119">
        <v>0.82399999999999995</v>
      </c>
      <c r="L51" s="55"/>
      <c r="M51" s="55"/>
      <c r="N51" s="55"/>
      <c r="O51" s="55"/>
      <c r="P51" s="55"/>
      <c r="Q51" s="55"/>
      <c r="R51" s="55"/>
      <c r="S51" s="55"/>
      <c r="T51" s="55"/>
      <c r="U51" s="55"/>
      <c r="V51" s="55"/>
      <c r="W51" s="55"/>
      <c r="X51" s="55"/>
      <c r="Y51" s="55"/>
      <c r="Z51" s="55"/>
      <c r="AA51" s="55"/>
      <c r="AB51" s="56"/>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row>
    <row r="52" spans="2:66" ht="14.4" thickBot="1">
      <c r="B52" s="96">
        <v>48</v>
      </c>
      <c r="C52" s="97" t="s">
        <v>53</v>
      </c>
      <c r="D52" s="120">
        <v>1</v>
      </c>
      <c r="E52" s="120">
        <v>1</v>
      </c>
      <c r="F52" s="120">
        <v>0.98516666666666663</v>
      </c>
      <c r="G52" s="120">
        <v>0.97033333333333327</v>
      </c>
      <c r="H52" s="120">
        <v>0.9554999999999999</v>
      </c>
      <c r="I52" s="120">
        <v>0.93324999999999991</v>
      </c>
      <c r="J52" s="121">
        <v>0.91100000000000003</v>
      </c>
      <c r="L52" s="55"/>
      <c r="M52" s="55"/>
      <c r="N52" s="55"/>
      <c r="O52" s="55"/>
      <c r="P52" s="55"/>
      <c r="Q52" s="55"/>
      <c r="R52" s="55"/>
      <c r="S52" s="55"/>
      <c r="T52" s="55"/>
      <c r="U52" s="55"/>
      <c r="V52" s="55"/>
      <c r="W52" s="55"/>
      <c r="X52" s="55"/>
      <c r="Y52" s="55"/>
      <c r="Z52" s="55"/>
      <c r="AA52" s="55"/>
      <c r="AB52" s="56"/>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row>
    <row r="53" spans="2:66">
      <c r="K53" s="55"/>
      <c r="L53" s="55"/>
      <c r="M53" s="55"/>
      <c r="N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row>
    <row r="54" spans="2:66">
      <c r="K54" s="55"/>
      <c r="L54" s="55"/>
      <c r="M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row>
  </sheetData>
  <mergeCells count="1">
    <mergeCell ref="B14:E14"/>
  </mergeCells>
  <pageMargins left="0.25" right="0.25" top="0.25" bottom="0.25" header="0.3" footer="0.3"/>
  <pageSetup scale="17" orientation="portrait" horizontalDpi="4294967293" verticalDpi="96"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zoomScale="80" zoomScaleNormal="80" workbookViewId="0">
      <selection sqref="A1:E1"/>
    </sheetView>
  </sheetViews>
  <sheetFormatPr defaultColWidth="29.6640625" defaultRowHeight="12" customHeight="1"/>
  <cols>
    <col min="1" max="1" width="24.88671875" bestFit="1" customWidth="1"/>
    <col min="2" max="5" width="19" customWidth="1"/>
  </cols>
  <sheetData>
    <row r="1" spans="1:5" ht="14.4">
      <c r="A1" s="490" t="s">
        <v>408</v>
      </c>
      <c r="B1" s="490"/>
      <c r="C1" s="490"/>
      <c r="D1" s="490"/>
      <c r="E1" s="490"/>
    </row>
    <row r="3" spans="1:5" ht="12" customHeight="1">
      <c r="A3" s="491" t="s">
        <v>353</v>
      </c>
      <c r="B3" s="491"/>
      <c r="C3" s="491"/>
      <c r="D3" s="491"/>
      <c r="E3" s="491"/>
    </row>
    <row r="4" spans="1:5" ht="12" customHeight="1">
      <c r="A4" s="369" t="s">
        <v>127</v>
      </c>
      <c r="B4" s="369" t="s">
        <v>354</v>
      </c>
      <c r="C4" s="369" t="s">
        <v>355</v>
      </c>
      <c r="D4" s="369" t="s">
        <v>356</v>
      </c>
      <c r="E4" s="369" t="s">
        <v>357</v>
      </c>
    </row>
    <row r="5" spans="1:5" ht="12" customHeight="1">
      <c r="A5" s="488" t="str">
        <f>'[2]38MGR ODU Multi-zone Mid Tier'!D5</f>
        <v>38MGRQ18B--3</v>
      </c>
      <c r="B5" s="370" t="s">
        <v>245</v>
      </c>
      <c r="C5" s="371"/>
      <c r="D5" s="371"/>
      <c r="E5" s="372"/>
    </row>
    <row r="6" spans="1:5" ht="12" customHeight="1">
      <c r="A6" s="489"/>
      <c r="B6" s="373" t="s">
        <v>358</v>
      </c>
      <c r="C6" s="374"/>
      <c r="D6" s="374"/>
      <c r="E6" s="375"/>
    </row>
    <row r="7" spans="1:5" ht="12" customHeight="1">
      <c r="A7" s="489"/>
      <c r="B7" s="370" t="s">
        <v>227</v>
      </c>
      <c r="C7" s="376"/>
      <c r="D7" s="376"/>
      <c r="E7" s="377"/>
    </row>
    <row r="8" spans="1:5" ht="12" customHeight="1">
      <c r="A8" s="488" t="str">
        <f>'[2]38MGR ODU Multi-zone Mid Tier'!E5</f>
        <v>38MGRQ24C--3</v>
      </c>
      <c r="B8" s="370" t="s">
        <v>245</v>
      </c>
      <c r="C8" s="378" t="s">
        <v>222</v>
      </c>
      <c r="D8" s="371"/>
      <c r="E8" s="372"/>
    </row>
    <row r="9" spans="1:5" ht="12" customHeight="1">
      <c r="A9" s="488"/>
      <c r="B9" s="370" t="s">
        <v>358</v>
      </c>
      <c r="C9" s="378" t="s">
        <v>219</v>
      </c>
      <c r="D9" s="374"/>
      <c r="E9" s="375"/>
    </row>
    <row r="10" spans="1:5" ht="12" customHeight="1">
      <c r="A10" s="488"/>
      <c r="B10" s="370" t="s">
        <v>359</v>
      </c>
      <c r="C10" s="378" t="s">
        <v>178</v>
      </c>
      <c r="D10" s="374"/>
      <c r="E10" s="375"/>
    </row>
    <row r="11" spans="1:5" ht="12" customHeight="1">
      <c r="A11" s="488"/>
      <c r="B11" s="370" t="s">
        <v>227</v>
      </c>
      <c r="C11" s="378" t="s">
        <v>176</v>
      </c>
      <c r="D11" s="374"/>
      <c r="E11" s="375"/>
    </row>
    <row r="12" spans="1:5" ht="12" customHeight="1">
      <c r="A12" s="488"/>
      <c r="B12" s="370" t="s">
        <v>224</v>
      </c>
      <c r="C12" s="378" t="s">
        <v>217</v>
      </c>
      <c r="D12" s="374"/>
      <c r="E12" s="375"/>
    </row>
    <row r="13" spans="1:5" ht="12" customHeight="1">
      <c r="A13" s="488"/>
      <c r="B13" s="370" t="s">
        <v>360</v>
      </c>
      <c r="C13" s="376"/>
      <c r="D13" s="376"/>
      <c r="E13" s="377"/>
    </row>
    <row r="14" spans="1:5" ht="12" customHeight="1">
      <c r="A14" s="488" t="str">
        <f>'[2]38MGR ODU Multi-zone Mid Tier'!F5</f>
        <v>38MGRQ30D--3</v>
      </c>
      <c r="B14" s="379" t="s">
        <v>245</v>
      </c>
      <c r="C14" s="378" t="s">
        <v>222</v>
      </c>
      <c r="D14" s="378" t="s">
        <v>162</v>
      </c>
      <c r="E14" s="372"/>
    </row>
    <row r="15" spans="1:5" ht="12" customHeight="1">
      <c r="A15" s="488"/>
      <c r="B15" s="379" t="s">
        <v>358</v>
      </c>
      <c r="C15" s="378" t="s">
        <v>219</v>
      </c>
      <c r="D15" s="378" t="s">
        <v>161</v>
      </c>
      <c r="E15" s="375"/>
    </row>
    <row r="16" spans="1:5" ht="12" customHeight="1">
      <c r="A16" s="488"/>
      <c r="B16" s="379" t="s">
        <v>359</v>
      </c>
      <c r="C16" s="378" t="s">
        <v>178</v>
      </c>
      <c r="D16" s="378" t="s">
        <v>160</v>
      </c>
      <c r="E16" s="375"/>
    </row>
    <row r="17" spans="1:5" ht="12" customHeight="1">
      <c r="A17" s="488"/>
      <c r="B17" s="379" t="s">
        <v>361</v>
      </c>
      <c r="C17" s="388" t="s">
        <v>218</v>
      </c>
      <c r="D17" s="378" t="s">
        <v>158</v>
      </c>
      <c r="E17" s="375"/>
    </row>
    <row r="18" spans="1:5" ht="12" customHeight="1">
      <c r="A18" s="488"/>
      <c r="B18" s="379" t="s">
        <v>227</v>
      </c>
      <c r="C18" s="388" t="s">
        <v>176</v>
      </c>
      <c r="D18" s="378" t="s">
        <v>362</v>
      </c>
      <c r="E18" s="375"/>
    </row>
    <row r="19" spans="1:5" ht="12" customHeight="1">
      <c r="A19" s="488"/>
      <c r="B19" s="379" t="s">
        <v>224</v>
      </c>
      <c r="C19" s="388" t="s">
        <v>175</v>
      </c>
      <c r="D19" s="378" t="s">
        <v>153</v>
      </c>
      <c r="E19" s="375"/>
    </row>
    <row r="20" spans="1:5" ht="12" customHeight="1">
      <c r="A20" s="488"/>
      <c r="B20" s="379" t="s">
        <v>363</v>
      </c>
      <c r="C20" s="388" t="s">
        <v>262</v>
      </c>
      <c r="D20" s="378" t="s">
        <v>148</v>
      </c>
      <c r="E20" s="375"/>
    </row>
    <row r="21" spans="1:5" ht="12" customHeight="1">
      <c r="A21" s="488"/>
      <c r="B21" s="379" t="s">
        <v>360</v>
      </c>
      <c r="C21" s="388" t="s">
        <v>173</v>
      </c>
      <c r="D21" s="380"/>
      <c r="E21" s="375"/>
    </row>
    <row r="22" spans="1:5" ht="12" customHeight="1">
      <c r="A22" s="488"/>
      <c r="B22" s="381"/>
      <c r="C22" s="388" t="s">
        <v>217</v>
      </c>
      <c r="D22" s="380"/>
      <c r="E22" s="375"/>
    </row>
    <row r="23" spans="1:5" ht="12" customHeight="1">
      <c r="A23" s="488"/>
      <c r="B23" s="381"/>
      <c r="C23" s="388" t="s">
        <v>169</v>
      </c>
      <c r="D23" s="380"/>
      <c r="E23" s="375"/>
    </row>
    <row r="24" spans="1:5" ht="12" customHeight="1">
      <c r="A24" s="488"/>
      <c r="B24" s="381"/>
      <c r="C24" s="388" t="s">
        <v>167</v>
      </c>
      <c r="D24" s="380"/>
      <c r="E24" s="375"/>
    </row>
    <row r="25" spans="1:5" ht="12" customHeight="1">
      <c r="A25" s="488"/>
      <c r="B25" s="382"/>
      <c r="C25" s="388" t="s">
        <v>364</v>
      </c>
      <c r="D25" s="383"/>
      <c r="E25" s="377"/>
    </row>
    <row r="26" spans="1:5" ht="12" customHeight="1">
      <c r="A26" s="488" t="str">
        <f>'[2]38MGR ODU Multi-zone Mid Tier'!G5</f>
        <v>38MGRQ36D--3</v>
      </c>
      <c r="B26" s="370" t="s">
        <v>365</v>
      </c>
      <c r="C26" s="388" t="s">
        <v>366</v>
      </c>
      <c r="D26" s="378" t="s">
        <v>162</v>
      </c>
      <c r="E26" s="384"/>
    </row>
    <row r="27" spans="1:5" ht="12" customHeight="1">
      <c r="A27" s="489"/>
      <c r="B27" s="370" t="s">
        <v>367</v>
      </c>
      <c r="C27" s="388" t="s">
        <v>368</v>
      </c>
      <c r="D27" s="378" t="s">
        <v>161</v>
      </c>
      <c r="E27" s="385"/>
    </row>
    <row r="28" spans="1:5" ht="12" customHeight="1">
      <c r="A28" s="489"/>
      <c r="B28" s="370" t="s">
        <v>369</v>
      </c>
      <c r="C28" s="388" t="s">
        <v>178</v>
      </c>
      <c r="D28" s="378" t="s">
        <v>160</v>
      </c>
      <c r="E28" s="386"/>
    </row>
    <row r="29" spans="1:5" ht="12" customHeight="1">
      <c r="A29" s="489"/>
      <c r="B29" s="370" t="s">
        <v>370</v>
      </c>
      <c r="C29" s="388" t="s">
        <v>371</v>
      </c>
      <c r="D29" s="378" t="s">
        <v>372</v>
      </c>
      <c r="E29" s="385"/>
    </row>
    <row r="30" spans="1:5" ht="12" customHeight="1">
      <c r="A30" s="489"/>
      <c r="B30" s="370" t="s">
        <v>373</v>
      </c>
      <c r="C30" s="378" t="s">
        <v>176</v>
      </c>
      <c r="D30" s="378" t="s">
        <v>158</v>
      </c>
      <c r="E30" s="386"/>
    </row>
    <row r="31" spans="1:5" ht="12" customHeight="1">
      <c r="A31" s="489"/>
      <c r="B31" s="370" t="s">
        <v>374</v>
      </c>
      <c r="C31" s="378" t="s">
        <v>175</v>
      </c>
      <c r="D31" s="378" t="s">
        <v>375</v>
      </c>
      <c r="E31" s="385"/>
    </row>
    <row r="32" spans="1:5" ht="12" customHeight="1">
      <c r="A32" s="489"/>
      <c r="B32" s="370" t="s">
        <v>376</v>
      </c>
      <c r="C32" s="378" t="s">
        <v>377</v>
      </c>
      <c r="D32" s="378" t="s">
        <v>378</v>
      </c>
      <c r="E32" s="386"/>
    </row>
    <row r="33" spans="1:5" ht="12" customHeight="1">
      <c r="A33" s="489"/>
      <c r="B33" s="370" t="s">
        <v>379</v>
      </c>
      <c r="C33" s="378" t="s">
        <v>173</v>
      </c>
      <c r="D33" s="378" t="s">
        <v>380</v>
      </c>
      <c r="E33" s="385"/>
    </row>
    <row r="34" spans="1:5" ht="12" customHeight="1">
      <c r="A34" s="489"/>
      <c r="B34" s="380"/>
      <c r="C34" s="378" t="s">
        <v>381</v>
      </c>
      <c r="D34" s="378" t="s">
        <v>382</v>
      </c>
      <c r="E34" s="386"/>
    </row>
    <row r="35" spans="1:5" ht="12" customHeight="1">
      <c r="A35" s="489"/>
      <c r="B35" s="381"/>
      <c r="C35" s="378" t="s">
        <v>383</v>
      </c>
      <c r="D35" s="378" t="s">
        <v>153</v>
      </c>
      <c r="E35" s="385"/>
    </row>
    <row r="36" spans="1:5" ht="12" customHeight="1">
      <c r="A36" s="489"/>
      <c r="B36" s="381"/>
      <c r="C36" s="378" t="s">
        <v>384</v>
      </c>
      <c r="D36" s="378" t="s">
        <v>152</v>
      </c>
      <c r="E36" s="386"/>
    </row>
    <row r="37" spans="1:5" ht="12" customHeight="1">
      <c r="A37" s="489"/>
      <c r="B37" s="381"/>
      <c r="C37" s="378" t="s">
        <v>169</v>
      </c>
      <c r="D37" s="378" t="s">
        <v>385</v>
      </c>
      <c r="E37" s="385"/>
    </row>
    <row r="38" spans="1:5" ht="12" customHeight="1">
      <c r="A38" s="489"/>
      <c r="B38" s="380"/>
      <c r="C38" s="378" t="s">
        <v>386</v>
      </c>
      <c r="D38" s="378" t="s">
        <v>387</v>
      </c>
      <c r="E38" s="386"/>
    </row>
    <row r="39" spans="1:5" ht="12" customHeight="1">
      <c r="A39" s="489"/>
      <c r="B39" s="380"/>
      <c r="C39" s="378" t="s">
        <v>167</v>
      </c>
      <c r="D39" s="378" t="s">
        <v>388</v>
      </c>
      <c r="E39" s="386"/>
    </row>
    <row r="40" spans="1:5" ht="12" customHeight="1">
      <c r="A40" s="489"/>
      <c r="B40" s="380"/>
      <c r="C40" s="378" t="s">
        <v>389</v>
      </c>
      <c r="D40" s="378" t="s">
        <v>148</v>
      </c>
      <c r="E40" s="386"/>
    </row>
    <row r="41" spans="1:5" ht="12" customHeight="1">
      <c r="A41" s="489"/>
      <c r="B41" s="380"/>
      <c r="C41" s="378" t="s">
        <v>390</v>
      </c>
      <c r="D41" s="378" t="s">
        <v>391</v>
      </c>
      <c r="E41" s="386"/>
    </row>
    <row r="42" spans="1:5" ht="12" customHeight="1">
      <c r="A42" s="489"/>
      <c r="B42" s="380"/>
      <c r="C42" s="378" t="s">
        <v>392</v>
      </c>
      <c r="D42" s="378" t="s">
        <v>393</v>
      </c>
      <c r="E42" s="385"/>
    </row>
    <row r="43" spans="1:5" ht="12" customHeight="1">
      <c r="A43" s="489"/>
      <c r="B43" s="383"/>
      <c r="C43" s="378" t="s">
        <v>394</v>
      </c>
      <c r="D43" s="378" t="s">
        <v>395</v>
      </c>
      <c r="E43" s="387"/>
    </row>
    <row r="44" spans="1:5" ht="12" customHeight="1">
      <c r="A44" s="488" t="str">
        <f>'[2]38MGR ODU Multi-zone Mid Tier'!H5</f>
        <v>38MGRQ48E--3</v>
      </c>
      <c r="B44" s="370" t="s">
        <v>365</v>
      </c>
      <c r="C44" s="378" t="s">
        <v>366</v>
      </c>
      <c r="D44" s="378" t="s">
        <v>162</v>
      </c>
      <c r="E44" s="378" t="s">
        <v>396</v>
      </c>
    </row>
    <row r="45" spans="1:5" ht="12" customHeight="1">
      <c r="A45" s="489"/>
      <c r="B45" s="370" t="s">
        <v>367</v>
      </c>
      <c r="C45" s="378" t="s">
        <v>368</v>
      </c>
      <c r="D45" s="378" t="s">
        <v>161</v>
      </c>
      <c r="E45" s="378" t="s">
        <v>397</v>
      </c>
    </row>
    <row r="46" spans="1:5" ht="12" customHeight="1">
      <c r="A46" s="489"/>
      <c r="B46" s="370" t="s">
        <v>369</v>
      </c>
      <c r="C46" s="378" t="s">
        <v>178</v>
      </c>
      <c r="D46" s="378" t="s">
        <v>160</v>
      </c>
      <c r="E46" s="378" t="s">
        <v>398</v>
      </c>
    </row>
    <row r="47" spans="1:5" ht="12" customHeight="1">
      <c r="A47" s="489"/>
      <c r="B47" s="370" t="s">
        <v>370</v>
      </c>
      <c r="C47" s="378" t="s">
        <v>371</v>
      </c>
      <c r="D47" s="378" t="s">
        <v>372</v>
      </c>
      <c r="E47" s="378" t="s">
        <v>399</v>
      </c>
    </row>
    <row r="48" spans="1:5" ht="12" customHeight="1">
      <c r="A48" s="489"/>
      <c r="B48" s="370" t="s">
        <v>373</v>
      </c>
      <c r="C48" s="378" t="s">
        <v>176</v>
      </c>
      <c r="D48" s="378" t="s">
        <v>158</v>
      </c>
      <c r="E48" s="378" t="s">
        <v>400</v>
      </c>
    </row>
    <row r="49" spans="1:5" ht="12" customHeight="1">
      <c r="A49" s="489"/>
      <c r="B49" s="370" t="s">
        <v>374</v>
      </c>
      <c r="C49" s="378" t="s">
        <v>175</v>
      </c>
      <c r="D49" s="378" t="s">
        <v>375</v>
      </c>
      <c r="E49" s="378" t="s">
        <v>401</v>
      </c>
    </row>
    <row r="50" spans="1:5" ht="12" customHeight="1">
      <c r="A50" s="489"/>
      <c r="B50" s="370" t="s">
        <v>376</v>
      </c>
      <c r="C50" s="378" t="s">
        <v>377</v>
      </c>
      <c r="D50" s="378" t="s">
        <v>378</v>
      </c>
      <c r="E50" s="378" t="s">
        <v>402</v>
      </c>
    </row>
    <row r="51" spans="1:5" ht="12" customHeight="1">
      <c r="A51" s="489"/>
      <c r="B51" s="370" t="s">
        <v>379</v>
      </c>
      <c r="C51" s="378" t="s">
        <v>173</v>
      </c>
      <c r="D51" s="378" t="s">
        <v>380</v>
      </c>
      <c r="E51" s="378" t="s">
        <v>403</v>
      </c>
    </row>
    <row r="52" spans="1:5" ht="12" customHeight="1">
      <c r="A52" s="489"/>
      <c r="B52" s="385"/>
      <c r="C52" s="378" t="s">
        <v>381</v>
      </c>
      <c r="D52" s="378" t="s">
        <v>382</v>
      </c>
      <c r="E52" s="378" t="s">
        <v>404</v>
      </c>
    </row>
    <row r="53" spans="1:5" ht="12" customHeight="1">
      <c r="A53" s="489"/>
      <c r="B53" s="385"/>
      <c r="C53" s="378" t="s">
        <v>383</v>
      </c>
      <c r="D53" s="378" t="s">
        <v>153</v>
      </c>
      <c r="E53" s="378" t="s">
        <v>405</v>
      </c>
    </row>
    <row r="54" spans="1:5" ht="12" customHeight="1">
      <c r="A54" s="489"/>
      <c r="B54" s="385"/>
      <c r="C54" s="378" t="s">
        <v>384</v>
      </c>
      <c r="D54" s="378" t="s">
        <v>152</v>
      </c>
      <c r="E54" s="378" t="s">
        <v>406</v>
      </c>
    </row>
    <row r="55" spans="1:5" ht="12" customHeight="1">
      <c r="A55" s="489"/>
      <c r="B55" s="385"/>
      <c r="C55" s="378" t="s">
        <v>169</v>
      </c>
      <c r="D55" s="378" t="s">
        <v>385</v>
      </c>
      <c r="E55" s="378" t="s">
        <v>407</v>
      </c>
    </row>
    <row r="56" spans="1:5" ht="12" customHeight="1">
      <c r="A56" s="489"/>
      <c r="B56" s="385"/>
      <c r="C56" s="378" t="s">
        <v>386</v>
      </c>
      <c r="D56" s="378" t="s">
        <v>387</v>
      </c>
      <c r="E56" s="385"/>
    </row>
    <row r="57" spans="1:5" ht="12" customHeight="1">
      <c r="A57" s="489"/>
      <c r="B57" s="385"/>
      <c r="C57" s="378" t="s">
        <v>167</v>
      </c>
      <c r="D57" s="378" t="s">
        <v>388</v>
      </c>
      <c r="E57" s="385"/>
    </row>
    <row r="58" spans="1:5" ht="12" customHeight="1">
      <c r="A58" s="489"/>
      <c r="B58" s="385"/>
      <c r="C58" s="378" t="s">
        <v>389</v>
      </c>
      <c r="D58" s="378" t="s">
        <v>148</v>
      </c>
      <c r="E58" s="385"/>
    </row>
    <row r="59" spans="1:5" ht="12" customHeight="1">
      <c r="A59" s="489"/>
      <c r="B59" s="385"/>
      <c r="C59" s="378" t="s">
        <v>390</v>
      </c>
      <c r="D59" s="378" t="s">
        <v>391</v>
      </c>
      <c r="E59" s="385"/>
    </row>
    <row r="60" spans="1:5" ht="12" customHeight="1">
      <c r="A60" s="489"/>
      <c r="B60" s="385"/>
      <c r="C60" s="378" t="s">
        <v>392</v>
      </c>
      <c r="D60" s="378" t="s">
        <v>393</v>
      </c>
      <c r="E60" s="385"/>
    </row>
    <row r="61" spans="1:5" ht="12" customHeight="1">
      <c r="A61" s="489"/>
      <c r="B61" s="387"/>
      <c r="C61" s="378" t="s">
        <v>394</v>
      </c>
      <c r="D61" s="378" t="s">
        <v>395</v>
      </c>
      <c r="E61" s="387"/>
    </row>
  </sheetData>
  <mergeCells count="7">
    <mergeCell ref="A44:A61"/>
    <mergeCell ref="A1:E1"/>
    <mergeCell ref="A3:E3"/>
    <mergeCell ref="A5:A7"/>
    <mergeCell ref="A8:A13"/>
    <mergeCell ref="A14:A25"/>
    <mergeCell ref="A26:A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9"/>
  <sheetViews>
    <sheetView workbookViewId="0"/>
  </sheetViews>
  <sheetFormatPr defaultColWidth="9.109375" defaultRowHeight="14.4"/>
  <cols>
    <col min="1" max="1" width="9.109375" style="404"/>
    <col min="2" max="2" width="3.44140625" style="404" bestFit="1" customWidth="1"/>
    <col min="3" max="4" width="18.109375" style="405" customWidth="1"/>
    <col min="5" max="5" width="91.44140625" style="405" bestFit="1" customWidth="1"/>
    <col min="6" max="6" width="21.109375" style="405" customWidth="1"/>
    <col min="7" max="16384" width="9.109375" style="404"/>
  </cols>
  <sheetData>
    <row r="2" spans="2:6" s="400" customFormat="1">
      <c r="B2" s="398" t="s">
        <v>311</v>
      </c>
      <c r="C2" s="398" t="s">
        <v>315</v>
      </c>
      <c r="D2" s="399" t="s">
        <v>312</v>
      </c>
      <c r="E2" s="398" t="s">
        <v>316</v>
      </c>
      <c r="F2" s="398" t="s">
        <v>314</v>
      </c>
    </row>
    <row r="3" spans="2:6">
      <c r="B3" s="401">
        <v>1</v>
      </c>
      <c r="C3" s="401" t="s">
        <v>313</v>
      </c>
      <c r="D3" s="402">
        <v>43997</v>
      </c>
      <c r="E3" s="401" t="s">
        <v>326</v>
      </c>
      <c r="F3" s="403">
        <v>1</v>
      </c>
    </row>
    <row r="4" spans="2:6">
      <c r="B4" s="401">
        <v>2</v>
      </c>
      <c r="C4" s="401" t="s">
        <v>313</v>
      </c>
      <c r="D4" s="402">
        <v>43999</v>
      </c>
      <c r="E4" s="401" t="s">
        <v>348</v>
      </c>
      <c r="F4" s="403">
        <v>1.1000000000000001</v>
      </c>
    </row>
    <row r="5" spans="2:6">
      <c r="B5" s="401">
        <v>3</v>
      </c>
      <c r="C5" s="401" t="s">
        <v>313</v>
      </c>
      <c r="D5" s="402">
        <v>44040</v>
      </c>
      <c r="E5" s="401" t="s">
        <v>352</v>
      </c>
      <c r="F5" s="403">
        <v>1.2</v>
      </c>
    </row>
    <row r="6" spans="2:6">
      <c r="B6" s="401">
        <v>4</v>
      </c>
      <c r="C6" s="401"/>
      <c r="D6" s="402"/>
      <c r="E6" s="401"/>
      <c r="F6" s="403"/>
    </row>
    <row r="7" spans="2:6">
      <c r="B7" s="401">
        <v>5</v>
      </c>
      <c r="C7" s="401"/>
      <c r="D7" s="402"/>
      <c r="E7" s="401"/>
      <c r="F7" s="403"/>
    </row>
    <row r="8" spans="2:6">
      <c r="B8" s="401">
        <v>6</v>
      </c>
      <c r="C8" s="401"/>
      <c r="D8" s="402"/>
      <c r="E8" s="401"/>
      <c r="F8" s="403"/>
    </row>
    <row r="9" spans="2:6">
      <c r="B9" s="401">
        <v>7</v>
      </c>
      <c r="C9" s="401"/>
      <c r="D9" s="402"/>
      <c r="E9" s="401"/>
      <c r="F9" s="403"/>
    </row>
    <row r="10" spans="2:6">
      <c r="B10" s="401">
        <v>8</v>
      </c>
      <c r="C10" s="401"/>
      <c r="D10" s="402"/>
      <c r="E10" s="401"/>
      <c r="F10" s="403"/>
    </row>
    <row r="11" spans="2:6">
      <c r="B11" s="401">
        <v>9</v>
      </c>
      <c r="C11" s="401"/>
      <c r="D11" s="402"/>
      <c r="E11" s="401"/>
      <c r="F11" s="403"/>
    </row>
    <row r="12" spans="2:6">
      <c r="B12" s="401">
        <v>10</v>
      </c>
      <c r="C12" s="401"/>
      <c r="D12" s="402"/>
      <c r="E12" s="401"/>
      <c r="F12" s="403"/>
    </row>
    <row r="13" spans="2:6">
      <c r="B13" s="401">
        <v>11</v>
      </c>
      <c r="C13" s="401"/>
      <c r="D13" s="402"/>
      <c r="E13" s="401"/>
      <c r="F13" s="403"/>
    </row>
    <row r="14" spans="2:6">
      <c r="B14" s="401">
        <v>12</v>
      </c>
      <c r="C14" s="401"/>
      <c r="D14" s="402"/>
      <c r="E14" s="401"/>
      <c r="F14" s="403"/>
    </row>
    <row r="15" spans="2:6">
      <c r="B15" s="401">
        <v>13</v>
      </c>
      <c r="C15" s="401"/>
      <c r="D15" s="402"/>
      <c r="E15" s="401"/>
      <c r="F15" s="403"/>
    </row>
    <row r="16" spans="2:6">
      <c r="B16" s="401">
        <v>14</v>
      </c>
      <c r="C16" s="401"/>
      <c r="D16" s="402"/>
      <c r="E16" s="401"/>
      <c r="F16" s="403"/>
    </row>
    <row r="17" spans="2:6">
      <c r="B17" s="401">
        <v>15</v>
      </c>
      <c r="C17" s="401"/>
      <c r="D17" s="402"/>
      <c r="E17" s="401"/>
      <c r="F17" s="403"/>
    </row>
    <row r="18" spans="2:6">
      <c r="B18" s="401">
        <v>16</v>
      </c>
      <c r="C18" s="401"/>
      <c r="D18" s="402"/>
      <c r="E18" s="401"/>
      <c r="F18" s="403"/>
    </row>
    <row r="19" spans="2:6">
      <c r="B19" s="401">
        <v>17</v>
      </c>
      <c r="C19" s="401"/>
      <c r="D19" s="402"/>
      <c r="E19" s="401"/>
      <c r="F19" s="403"/>
    </row>
    <row r="20" spans="2:6">
      <c r="B20" s="401">
        <v>18</v>
      </c>
      <c r="C20" s="401"/>
      <c r="D20" s="402"/>
      <c r="E20" s="401"/>
      <c r="F20" s="403"/>
    </row>
    <row r="21" spans="2:6">
      <c r="B21" s="401">
        <v>19</v>
      </c>
      <c r="C21" s="401"/>
      <c r="D21" s="402"/>
      <c r="E21" s="401"/>
      <c r="F21" s="403"/>
    </row>
    <row r="22" spans="2:6">
      <c r="B22" s="401">
        <v>20</v>
      </c>
      <c r="C22" s="401"/>
      <c r="D22" s="402"/>
      <c r="E22" s="401"/>
      <c r="F22" s="403"/>
    </row>
    <row r="23" spans="2:6">
      <c r="B23" s="401">
        <v>21</v>
      </c>
      <c r="C23" s="401"/>
      <c r="D23" s="402"/>
      <c r="E23" s="401"/>
      <c r="F23" s="403"/>
    </row>
    <row r="24" spans="2:6">
      <c r="B24" s="401">
        <v>22</v>
      </c>
      <c r="C24" s="401"/>
      <c r="D24" s="402"/>
      <c r="E24" s="401"/>
      <c r="F24" s="403"/>
    </row>
    <row r="25" spans="2:6">
      <c r="B25" s="401">
        <v>23</v>
      </c>
      <c r="C25" s="401"/>
      <c r="D25" s="402"/>
      <c r="E25" s="401"/>
      <c r="F25" s="403"/>
    </row>
    <row r="26" spans="2:6">
      <c r="B26" s="401">
        <v>24</v>
      </c>
      <c r="C26" s="401"/>
      <c r="D26" s="402"/>
      <c r="E26" s="401"/>
      <c r="F26" s="403"/>
    </row>
    <row r="27" spans="2:6">
      <c r="B27" s="401">
        <v>25</v>
      </c>
      <c r="C27" s="401"/>
      <c r="D27" s="402"/>
      <c r="E27" s="401"/>
      <c r="F27" s="403"/>
    </row>
    <row r="28" spans="2:6">
      <c r="B28" s="401">
        <v>26</v>
      </c>
      <c r="C28" s="401"/>
      <c r="D28" s="402"/>
      <c r="E28" s="401"/>
      <c r="F28" s="403"/>
    </row>
    <row r="29" spans="2:6">
      <c r="B29" s="401">
        <v>27</v>
      </c>
      <c r="C29" s="401"/>
      <c r="D29" s="402"/>
      <c r="E29" s="401"/>
      <c r="F29" s="403"/>
    </row>
    <row r="30" spans="2:6">
      <c r="B30" s="401">
        <v>28</v>
      </c>
      <c r="C30" s="401"/>
      <c r="D30" s="402"/>
      <c r="E30" s="401"/>
      <c r="F30" s="403"/>
    </row>
    <row r="31" spans="2:6">
      <c r="B31" s="401">
        <v>29</v>
      </c>
      <c r="C31" s="401"/>
      <c r="D31" s="402"/>
      <c r="E31" s="401"/>
      <c r="F31" s="403"/>
    </row>
    <row r="32" spans="2:6">
      <c r="B32" s="401">
        <v>30</v>
      </c>
      <c r="C32" s="401"/>
      <c r="D32" s="402"/>
      <c r="E32" s="401"/>
      <c r="F32" s="403"/>
    </row>
    <row r="33" spans="2:6">
      <c r="B33" s="401">
        <v>31</v>
      </c>
      <c r="C33" s="401"/>
      <c r="D33" s="402"/>
      <c r="E33" s="401"/>
      <c r="F33" s="403"/>
    </row>
    <row r="34" spans="2:6">
      <c r="B34" s="401">
        <v>32</v>
      </c>
      <c r="C34" s="401"/>
      <c r="D34" s="402"/>
      <c r="E34" s="401"/>
      <c r="F34" s="403"/>
    </row>
    <row r="35" spans="2:6">
      <c r="B35" s="401">
        <v>33</v>
      </c>
      <c r="C35" s="401"/>
      <c r="D35" s="402"/>
      <c r="E35" s="401"/>
      <c r="F35" s="403"/>
    </row>
    <row r="36" spans="2:6">
      <c r="B36" s="401">
        <v>34</v>
      </c>
      <c r="C36" s="401"/>
      <c r="D36" s="402"/>
      <c r="E36" s="401"/>
      <c r="F36" s="403"/>
    </row>
    <row r="37" spans="2:6">
      <c r="B37" s="401">
        <v>35</v>
      </c>
      <c r="C37" s="401"/>
      <c r="D37" s="402"/>
      <c r="E37" s="401"/>
      <c r="F37" s="403"/>
    </row>
    <row r="38" spans="2:6">
      <c r="B38" s="401">
        <v>36</v>
      </c>
      <c r="C38" s="401"/>
      <c r="D38" s="402"/>
      <c r="E38" s="401"/>
      <c r="F38" s="403"/>
    </row>
    <row r="39" spans="2:6">
      <c r="B39" s="401">
        <v>37</v>
      </c>
      <c r="C39" s="401"/>
      <c r="D39" s="402"/>
      <c r="E39" s="401"/>
      <c r="F39" s="403"/>
    </row>
  </sheetData>
  <sheetProtection algorithmName="SHA-512" hashValue="+npplYbyqjq3lE8u8ymh2j39b03nBnrGWkIsW1JGCp9i+IZR60U6WgRQ6YePpjtvH3ArB+FvDT5+gY5DqvDn3w==" saltValue="63g/lVVPm1CthQdnzlFz3A==" spinCount="100000" sheet="1" objects="1" scenarios="1"/>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163"/>
  <sheetViews>
    <sheetView zoomScale="55" zoomScaleNormal="55" workbookViewId="0"/>
  </sheetViews>
  <sheetFormatPr defaultColWidth="10" defaultRowHeight="13.8"/>
  <cols>
    <col min="1" max="1" width="7.44140625" style="130" customWidth="1"/>
    <col min="2" max="2" width="8.44140625" style="130" bestFit="1" customWidth="1"/>
    <col min="3" max="3" width="6.88671875" style="130" bestFit="1" customWidth="1"/>
    <col min="4" max="4" width="19.6640625" style="130" bestFit="1" customWidth="1"/>
    <col min="5" max="7" width="20.109375" style="130" bestFit="1" customWidth="1"/>
    <col min="8" max="8" width="19.88671875" style="130" bestFit="1" customWidth="1"/>
    <col min="9" max="9" width="6.88671875" style="130" bestFit="1" customWidth="1"/>
    <col min="10" max="10" width="5.88671875" style="130" bestFit="1" customWidth="1"/>
    <col min="11" max="11" width="7" style="130" bestFit="1" customWidth="1"/>
    <col min="12" max="12" width="8.5546875" style="130" customWidth="1"/>
    <col min="13" max="13" width="6.88671875" style="130" bestFit="1" customWidth="1"/>
    <col min="14" max="15" width="11.6640625" style="130" bestFit="1" customWidth="1"/>
    <col min="16" max="16" width="18.5546875" style="130" bestFit="1" customWidth="1"/>
    <col min="17" max="17" width="14.88671875" style="130" customWidth="1"/>
    <col min="18" max="18" width="18.88671875" style="130" bestFit="1" customWidth="1"/>
    <col min="19" max="20" width="14.109375" style="130" bestFit="1" customWidth="1"/>
    <col min="21" max="21" width="15.33203125" style="130" bestFit="1" customWidth="1"/>
    <col min="22" max="22" width="15.44140625" style="130" bestFit="1" customWidth="1"/>
    <col min="23" max="23" width="14.109375" style="130" bestFit="1" customWidth="1"/>
    <col min="24" max="24" width="20.88671875" style="130" bestFit="1" customWidth="1"/>
    <col min="25" max="25" width="22.44140625" style="130" customWidth="1"/>
    <col min="26" max="26" width="20.5546875" style="130" customWidth="1"/>
    <col min="27" max="27" width="23.6640625" style="130" bestFit="1" customWidth="1"/>
    <col min="28" max="28" width="18.33203125" style="130" bestFit="1" customWidth="1"/>
    <col min="29" max="29" width="10" style="130"/>
    <col min="30" max="30" width="19.6640625" style="130" bestFit="1" customWidth="1"/>
    <col min="31" max="31" width="18.5546875" style="130" bestFit="1" customWidth="1"/>
    <col min="32" max="32" width="21.6640625" style="130" customWidth="1"/>
    <col min="33" max="33" width="22.5546875" style="130" customWidth="1"/>
    <col min="34" max="16384" width="10" style="130"/>
  </cols>
  <sheetData>
    <row r="2" spans="1:33" ht="12.75" customHeight="1">
      <c r="M2" s="255" t="s">
        <v>251</v>
      </c>
      <c r="N2" s="255"/>
      <c r="O2" s="256">
        <f>Cool_Design_T</f>
        <v>95</v>
      </c>
    </row>
    <row r="3" spans="1:33">
      <c r="B3" s="255" t="s">
        <v>250</v>
      </c>
      <c r="C3" s="256">
        <f>Outdoor_Unit_Size</f>
        <v>24</v>
      </c>
      <c r="M3" s="255" t="s">
        <v>249</v>
      </c>
      <c r="N3" s="255"/>
      <c r="O3" s="256">
        <f>Heat_Design_T</f>
        <v>45</v>
      </c>
    </row>
    <row r="4" spans="1:33" ht="27.6">
      <c r="A4" s="131"/>
      <c r="Q4" s="492" t="s">
        <v>283</v>
      </c>
      <c r="R4" s="492"/>
      <c r="S4" s="364"/>
      <c r="T4" s="492" t="s">
        <v>282</v>
      </c>
      <c r="U4" s="492"/>
      <c r="V4" s="492" t="s">
        <v>284</v>
      </c>
      <c r="W4" s="492"/>
      <c r="AB4" s="256"/>
      <c r="AC4" s="256"/>
      <c r="AD4" s="255" t="s">
        <v>248</v>
      </c>
      <c r="AE4" s="255" t="s">
        <v>247</v>
      </c>
      <c r="AF4" s="270" t="s">
        <v>246</v>
      </c>
      <c r="AG4" s="270" t="s">
        <v>309</v>
      </c>
    </row>
    <row r="5" spans="1:33">
      <c r="A5" s="131"/>
      <c r="N5" s="141" t="s">
        <v>56</v>
      </c>
      <c r="O5" s="141" t="s">
        <v>132</v>
      </c>
      <c r="P5" s="141" t="s">
        <v>252</v>
      </c>
      <c r="Q5" s="142" t="s">
        <v>253</v>
      </c>
      <c r="R5" s="142" t="s">
        <v>254</v>
      </c>
      <c r="S5" s="143"/>
      <c r="T5" s="142" t="s">
        <v>253</v>
      </c>
      <c r="U5" s="142" t="s">
        <v>254</v>
      </c>
      <c r="V5" s="142" t="s">
        <v>253</v>
      </c>
      <c r="W5" s="142" t="s">
        <v>254</v>
      </c>
      <c r="Y5" s="255" t="str">
        <f>P5</f>
        <v>Maximum number of IDUs</v>
      </c>
      <c r="Z5" s="256">
        <f>VLOOKUP(Z6,Calculations!O6:P10,2,FALSE)</f>
        <v>3</v>
      </c>
      <c r="AB5" s="255" t="s">
        <v>128</v>
      </c>
      <c r="AC5" s="256"/>
      <c r="AD5" s="256">
        <v>82</v>
      </c>
      <c r="AE5" s="256">
        <v>131</v>
      </c>
      <c r="AF5" s="256">
        <v>49</v>
      </c>
      <c r="AG5" s="256">
        <v>49</v>
      </c>
    </row>
    <row r="6" spans="1:33" ht="12.75" customHeight="1">
      <c r="A6" s="135"/>
      <c r="B6" s="135"/>
      <c r="C6" s="135"/>
      <c r="D6" s="135"/>
      <c r="E6" s="135"/>
      <c r="F6" s="135"/>
      <c r="G6" s="135"/>
      <c r="H6" s="135"/>
      <c r="I6" s="135"/>
      <c r="J6" s="135"/>
      <c r="K6" s="135"/>
      <c r="L6" s="135"/>
      <c r="M6" s="135"/>
      <c r="N6" s="144">
        <v>18</v>
      </c>
      <c r="O6" s="144" t="s">
        <v>128</v>
      </c>
      <c r="P6" s="133">
        <v>2</v>
      </c>
      <c r="Q6" s="269">
        <v>18</v>
      </c>
      <c r="R6" s="269">
        <v>19</v>
      </c>
      <c r="S6" s="134">
        <f>24/Calculations!N6</f>
        <v>1.3333333333333333</v>
      </c>
      <c r="T6" s="269">
        <v>18</v>
      </c>
      <c r="U6" s="269">
        <v>18.7</v>
      </c>
      <c r="V6" s="269">
        <v>18</v>
      </c>
      <c r="W6" s="269">
        <v>18.5</v>
      </c>
      <c r="Y6" s="255" t="s">
        <v>260</v>
      </c>
      <c r="Z6" s="256" t="str">
        <f>'Multizone Sizing Tool'!F7</f>
        <v>38MGRQ24C--3</v>
      </c>
      <c r="AB6" s="255" t="s">
        <v>129</v>
      </c>
      <c r="AC6" s="256"/>
      <c r="AD6" s="256">
        <v>98</v>
      </c>
      <c r="AE6" s="256">
        <v>197</v>
      </c>
      <c r="AF6" s="256">
        <v>74</v>
      </c>
      <c r="AG6" s="256">
        <v>49</v>
      </c>
    </row>
    <row r="7" spans="1:33">
      <c r="A7" s="135"/>
      <c r="B7" s="135"/>
      <c r="C7" s="135"/>
      <c r="D7" s="135"/>
      <c r="E7" s="135"/>
      <c r="F7" s="135"/>
      <c r="G7" s="135"/>
      <c r="H7" s="135"/>
      <c r="I7" s="135"/>
      <c r="J7" s="135"/>
      <c r="K7" s="135"/>
      <c r="L7" s="135"/>
      <c r="M7" s="135"/>
      <c r="N7" s="144">
        <v>24</v>
      </c>
      <c r="O7" s="144" t="s">
        <v>129</v>
      </c>
      <c r="P7" s="133">
        <v>3</v>
      </c>
      <c r="Q7" s="269">
        <v>24</v>
      </c>
      <c r="R7" s="269">
        <v>23</v>
      </c>
      <c r="S7" s="134">
        <f>36/Calculations!N7</f>
        <v>1.5</v>
      </c>
      <c r="T7" s="269">
        <v>24</v>
      </c>
      <c r="U7" s="269">
        <v>24</v>
      </c>
      <c r="V7" s="269">
        <v>24</v>
      </c>
      <c r="W7" s="269">
        <v>24</v>
      </c>
      <c r="Y7" s="255" t="s">
        <v>261</v>
      </c>
      <c r="Z7" s="256">
        <f>COUNTIF(AE51:AE55,"&lt;&gt;0")</f>
        <v>2</v>
      </c>
      <c r="AB7" s="255" t="s">
        <v>80</v>
      </c>
      <c r="AC7" s="256"/>
      <c r="AD7" s="256">
        <v>115</v>
      </c>
      <c r="AE7" s="256">
        <v>263</v>
      </c>
      <c r="AF7" s="256">
        <v>98</v>
      </c>
      <c r="AG7" s="256">
        <v>49</v>
      </c>
    </row>
    <row r="8" spans="1:33" ht="12.75" customHeight="1">
      <c r="A8" s="135"/>
      <c r="B8" s="135"/>
      <c r="C8" s="135"/>
      <c r="D8" s="135"/>
      <c r="E8" s="135"/>
      <c r="F8" s="135"/>
      <c r="G8" s="135"/>
      <c r="H8" s="135"/>
      <c r="I8" s="135"/>
      <c r="J8" s="135"/>
      <c r="K8" s="135"/>
      <c r="L8" s="135"/>
      <c r="M8" s="135"/>
      <c r="N8" s="144">
        <v>30</v>
      </c>
      <c r="O8" s="144" t="s">
        <v>80</v>
      </c>
      <c r="P8" s="133">
        <v>4</v>
      </c>
      <c r="Q8" s="269">
        <v>30</v>
      </c>
      <c r="R8" s="269">
        <v>28</v>
      </c>
      <c r="S8" s="134">
        <f>48/Calculations!N8</f>
        <v>1.6</v>
      </c>
      <c r="T8" s="269">
        <v>30</v>
      </c>
      <c r="U8" s="269">
        <v>29</v>
      </c>
      <c r="V8" s="269">
        <v>30</v>
      </c>
      <c r="W8" s="269">
        <v>30</v>
      </c>
      <c r="AB8" s="255" t="s">
        <v>130</v>
      </c>
      <c r="AC8" s="256"/>
      <c r="AD8" s="256">
        <v>115</v>
      </c>
      <c r="AE8" s="256">
        <v>328</v>
      </c>
      <c r="AF8" s="256">
        <v>123</v>
      </c>
      <c r="AG8" s="256">
        <v>65</v>
      </c>
    </row>
    <row r="9" spans="1:33" ht="12.75" customHeight="1">
      <c r="A9" s="131"/>
      <c r="N9" s="144">
        <v>36</v>
      </c>
      <c r="O9" s="144" t="s">
        <v>130</v>
      </c>
      <c r="P9" s="133">
        <v>4</v>
      </c>
      <c r="Q9" s="269">
        <v>36</v>
      </c>
      <c r="R9" s="269">
        <v>36</v>
      </c>
      <c r="S9" s="134">
        <f>60/Calculations!N9</f>
        <v>1.6666666666666667</v>
      </c>
      <c r="T9" s="269">
        <v>36</v>
      </c>
      <c r="U9" s="269">
        <v>36.4</v>
      </c>
      <c r="V9" s="269">
        <v>36</v>
      </c>
      <c r="W9" s="269">
        <v>37</v>
      </c>
      <c r="AB9" s="255" t="s">
        <v>131</v>
      </c>
      <c r="AC9" s="256"/>
      <c r="AD9" s="256">
        <v>115</v>
      </c>
      <c r="AE9" s="256">
        <v>328</v>
      </c>
      <c r="AF9" s="256">
        <v>123</v>
      </c>
      <c r="AG9" s="256">
        <v>65</v>
      </c>
    </row>
    <row r="10" spans="1:33" ht="12.75" customHeight="1">
      <c r="A10" s="131"/>
      <c r="B10" s="255"/>
      <c r="C10" s="255" t="s">
        <v>15</v>
      </c>
      <c r="D10" s="255" t="s">
        <v>16</v>
      </c>
      <c r="N10" s="144">
        <v>48</v>
      </c>
      <c r="O10" s="144" t="s">
        <v>131</v>
      </c>
      <c r="P10" s="133">
        <v>5</v>
      </c>
      <c r="Q10" s="269">
        <v>48</v>
      </c>
      <c r="R10" s="269">
        <v>48</v>
      </c>
      <c r="S10" s="134">
        <f>60/Calculations!N10</f>
        <v>1.25</v>
      </c>
      <c r="T10" s="269">
        <v>48.5</v>
      </c>
      <c r="U10" s="269">
        <v>49</v>
      </c>
      <c r="V10" s="269">
        <v>49</v>
      </c>
      <c r="W10" s="269">
        <v>50</v>
      </c>
      <c r="AD10" s="256"/>
      <c r="AE10" s="256"/>
      <c r="AF10" s="256"/>
      <c r="AG10" s="256"/>
    </row>
    <row r="11" spans="1:33" ht="12.75" customHeight="1">
      <c r="A11" s="131"/>
      <c r="B11" s="256">
        <v>-13</v>
      </c>
      <c r="C11" s="134">
        <f>D11/48</f>
        <v>1.1208333333333333</v>
      </c>
      <c r="D11" s="134">
        <v>53.8</v>
      </c>
      <c r="AD11" s="256">
        <f>VLOOKUP($Z$6,$AB$5:$AF$9,3,FALSE)</f>
        <v>98</v>
      </c>
      <c r="AE11" s="256">
        <f>VLOOKUP($Z$6,$AB$5:$AF$9,4,FALSE)</f>
        <v>197</v>
      </c>
      <c r="AF11" s="256">
        <f>VLOOKUP($Z$6,$AB$5:$AF$9,5,FALSE)</f>
        <v>74</v>
      </c>
      <c r="AG11" s="256">
        <f>VLOOKUP($Z$6,$AB$5:$AG$9,6,FALSE)</f>
        <v>49</v>
      </c>
    </row>
    <row r="12" spans="1:33" ht="12.75" customHeight="1">
      <c r="A12" s="131"/>
      <c r="B12" s="277">
        <v>-4</v>
      </c>
      <c r="C12" s="278">
        <f t="shared" ref="C12:C22" si="0">D12/48</f>
        <v>1.1487499999999999</v>
      </c>
      <c r="D12" s="278">
        <v>55.14</v>
      </c>
    </row>
    <row r="13" spans="1:33" ht="12.75" customHeight="1">
      <c r="A13" s="131"/>
      <c r="B13" s="277">
        <v>0</v>
      </c>
      <c r="C13" s="278">
        <f t="shared" si="0"/>
        <v>1.1391666666666667</v>
      </c>
      <c r="D13" s="278">
        <v>54.68</v>
      </c>
      <c r="J13" s="256"/>
      <c r="K13" s="256"/>
      <c r="L13" s="255" t="s">
        <v>244</v>
      </c>
      <c r="M13" s="255" t="s">
        <v>243</v>
      </c>
      <c r="N13" s="255" t="s">
        <v>242</v>
      </c>
      <c r="Q13" s="132" t="s">
        <v>302</v>
      </c>
      <c r="R13" s="132" t="s">
        <v>84</v>
      </c>
      <c r="S13" s="132" t="s">
        <v>240</v>
      </c>
      <c r="T13" s="132" t="s">
        <v>56</v>
      </c>
      <c r="U13" s="132" t="s">
        <v>253</v>
      </c>
      <c r="V13" s="132" t="s">
        <v>254</v>
      </c>
      <c r="W13" s="132" t="s">
        <v>263</v>
      </c>
    </row>
    <row r="14" spans="1:33" ht="12.75" customHeight="1">
      <c r="A14" s="131"/>
      <c r="B14" s="277">
        <v>5</v>
      </c>
      <c r="C14" s="278">
        <f t="shared" si="0"/>
        <v>1.1522916666666667</v>
      </c>
      <c r="D14" s="278">
        <v>55.31</v>
      </c>
      <c r="J14" s="255" t="s">
        <v>241</v>
      </c>
      <c r="K14" s="256"/>
      <c r="L14" s="134">
        <f>IF(HLOOKUP(Z6,K25:O32,8,FALSE)&gt;1,1,HLOOKUP(Z6,K25:O32,8,FALSE))</f>
        <v>1</v>
      </c>
      <c r="M14" s="134">
        <f>HLOOKUP(Z6,D68:H75,8,FALSE)</f>
        <v>1.5834589371980676</v>
      </c>
      <c r="N14" s="256">
        <f>IF(O3&gt;40,1,IF(O3&lt;20,0.95,O73))</f>
        <v>1</v>
      </c>
      <c r="Q14" s="133" t="s">
        <v>294</v>
      </c>
      <c r="R14" s="133" t="s">
        <v>90</v>
      </c>
      <c r="S14" s="133" t="s">
        <v>342</v>
      </c>
      <c r="T14" s="269">
        <v>9</v>
      </c>
      <c r="U14" s="269">
        <v>9</v>
      </c>
      <c r="V14" s="269">
        <v>10.9</v>
      </c>
      <c r="W14" s="133" t="s">
        <v>220</v>
      </c>
    </row>
    <row r="15" spans="1:33" ht="12.75" customHeight="1">
      <c r="A15" s="131"/>
      <c r="B15" s="277">
        <v>17</v>
      </c>
      <c r="C15" s="278">
        <f t="shared" si="0"/>
        <v>1.1697916666666666</v>
      </c>
      <c r="D15" s="278">
        <v>56.15</v>
      </c>
      <c r="O15" s="132" t="s">
        <v>303</v>
      </c>
      <c r="Q15" s="133" t="s">
        <v>294</v>
      </c>
      <c r="R15" s="133" t="s">
        <v>211</v>
      </c>
      <c r="S15" s="133" t="s">
        <v>342</v>
      </c>
      <c r="T15" s="269">
        <v>12</v>
      </c>
      <c r="U15" s="269">
        <v>12</v>
      </c>
      <c r="V15" s="269">
        <v>11.8</v>
      </c>
      <c r="W15" s="133" t="s">
        <v>220</v>
      </c>
    </row>
    <row r="16" spans="1:33" ht="12.75" customHeight="1">
      <c r="A16" s="131"/>
      <c r="B16" s="277">
        <v>47</v>
      </c>
      <c r="C16" s="278">
        <f t="shared" si="0"/>
        <v>1.1816666666666666</v>
      </c>
      <c r="D16" s="278">
        <v>56.72</v>
      </c>
      <c r="O16" s="133" t="s">
        <v>294</v>
      </c>
      <c r="Q16" s="133" t="s">
        <v>294</v>
      </c>
      <c r="R16" s="133" t="s">
        <v>210</v>
      </c>
      <c r="S16" s="133" t="s">
        <v>342</v>
      </c>
      <c r="T16" s="269">
        <v>18</v>
      </c>
      <c r="U16" s="269">
        <v>17</v>
      </c>
      <c r="V16" s="269">
        <v>18</v>
      </c>
      <c r="W16" s="133" t="s">
        <v>220</v>
      </c>
      <c r="Y16" s="255" t="s">
        <v>277</v>
      </c>
      <c r="Z16" s="255" t="s">
        <v>278</v>
      </c>
      <c r="AA16" s="255" t="s">
        <v>279</v>
      </c>
      <c r="AB16" s="255" t="s">
        <v>280</v>
      </c>
      <c r="AC16" s="255" t="s">
        <v>281</v>
      </c>
    </row>
    <row r="17" spans="1:31" ht="12.75" customHeight="1">
      <c r="A17" s="131"/>
      <c r="B17" s="277">
        <v>77</v>
      </c>
      <c r="C17" s="278">
        <f t="shared" si="0"/>
        <v>1.2554166666666666</v>
      </c>
      <c r="D17" s="278">
        <v>60.26</v>
      </c>
      <c r="O17" s="133" t="s">
        <v>293</v>
      </c>
      <c r="Q17" s="133" t="s">
        <v>294</v>
      </c>
      <c r="R17" s="133" t="s">
        <v>209</v>
      </c>
      <c r="S17" s="133" t="s">
        <v>342</v>
      </c>
      <c r="T17" s="269">
        <v>24</v>
      </c>
      <c r="U17" s="269">
        <v>24</v>
      </c>
      <c r="V17" s="269">
        <v>24</v>
      </c>
      <c r="W17" s="133" t="s">
        <v>220</v>
      </c>
      <c r="Y17" s="256">
        <f>IF(Z7&gt;1,VLOOKUP(AE51,$R$14:$T$47,3,FALSE),"")</f>
        <v>9</v>
      </c>
      <c r="Z17" s="256">
        <f>IF(Z7&gt;1,VLOOKUP(AE52,$R$14:$T$47,3,FALSE),"")</f>
        <v>9</v>
      </c>
      <c r="AA17" s="256" t="str">
        <f>IF(Z7&gt;2,VLOOKUP(AE53,$R$14:$T$47,3,FALSE),"")</f>
        <v/>
      </c>
      <c r="AB17" s="256" t="str">
        <f>IF(Z7&gt;3,VLOOKUP(AE54,$R$14:$T$47,3,FALSE),"")</f>
        <v/>
      </c>
      <c r="AC17" s="256" t="str">
        <f>IF(Z7&gt;4,VLOOKUP(AE55,$R$14:$T$47,3,FALSE),"")</f>
        <v/>
      </c>
    </row>
    <row r="18" spans="1:31" ht="12.75" customHeight="1">
      <c r="A18" s="131"/>
      <c r="B18" s="256">
        <v>86</v>
      </c>
      <c r="C18" s="134">
        <f t="shared" si="0"/>
        <v>1.1837500000000001</v>
      </c>
      <c r="D18" s="134">
        <v>56.82</v>
      </c>
      <c r="O18" s="133" t="s">
        <v>226</v>
      </c>
      <c r="Q18" s="133" t="s">
        <v>294</v>
      </c>
      <c r="R18" s="133" t="s">
        <v>333</v>
      </c>
      <c r="S18" s="133" t="s">
        <v>341</v>
      </c>
      <c r="T18" s="269">
        <v>9</v>
      </c>
      <c r="U18" s="269">
        <v>9</v>
      </c>
      <c r="V18" s="269">
        <v>10.9</v>
      </c>
      <c r="W18" s="133" t="s">
        <v>220</v>
      </c>
      <c r="AE18" s="130">
        <f>INDEX(AD5:AD9,MATCH(Z6,AB5:AB9,1))</f>
        <v>98</v>
      </c>
    </row>
    <row r="19" spans="1:31" ht="12.75" customHeight="1">
      <c r="A19" s="131"/>
      <c r="B19" s="256">
        <v>95</v>
      </c>
      <c r="C19" s="134">
        <f t="shared" si="0"/>
        <v>1.1074999999999999</v>
      </c>
      <c r="D19" s="134">
        <v>53.16</v>
      </c>
      <c r="O19" s="133" t="s">
        <v>409</v>
      </c>
      <c r="Q19" s="133" t="s">
        <v>294</v>
      </c>
      <c r="R19" s="133" t="s">
        <v>334</v>
      </c>
      <c r="S19" s="133" t="s">
        <v>341</v>
      </c>
      <c r="T19" s="269">
        <v>12</v>
      </c>
      <c r="U19" s="269">
        <v>12</v>
      </c>
      <c r="V19" s="269">
        <v>11.8</v>
      </c>
      <c r="W19" s="133" t="s">
        <v>220</v>
      </c>
      <c r="Y19" s="255" t="str">
        <f>IF(Calculations!Z7=3,CONCATENATE(Calculations!Y22,"+",Calculations!Y23,"+",Calculations!Y24),IF(Calculations!Z7=4,CONCATENATE(Calculations!Y22,"+",Calculations!Y23,"+",Calculations!Y24,"+",Calculations!Y25),IF(Calculations!Z7=5,CONCATENATE(Calculations!Y22,"+",Calculations!Y23,"+",Calculations!Y24,"+",Calculations!Y25,"+",Calculations!Y26),CONCATENATE(Calculations!Y22,"+",Calculations!Y23))))</f>
        <v>9+9</v>
      </c>
    </row>
    <row r="20" spans="1:31">
      <c r="A20" s="131"/>
      <c r="B20" s="256">
        <v>104</v>
      </c>
      <c r="C20" s="134">
        <f t="shared" si="0"/>
        <v>0.85312500000000002</v>
      </c>
      <c r="D20" s="134">
        <v>40.950000000000003</v>
      </c>
      <c r="O20" s="133" t="s">
        <v>223</v>
      </c>
      <c r="Q20" s="133" t="s">
        <v>294</v>
      </c>
      <c r="R20" s="133" t="s">
        <v>335</v>
      </c>
      <c r="S20" s="133" t="s">
        <v>341</v>
      </c>
      <c r="T20" s="269">
        <v>18</v>
      </c>
      <c r="U20" s="269">
        <v>17</v>
      </c>
      <c r="V20" s="269">
        <v>18</v>
      </c>
      <c r="W20" s="133" t="s">
        <v>220</v>
      </c>
      <c r="Y20" s="255" t="str">
        <f>IF(AND(AD56&gt;0,AC56=0),"Non-Ducted Indoor Units",IF(AND(AD56&gt;0,AC56&gt;0),"Mixed Ducted and Non-Ducted Indoor Units","Ducted Indoor Units"))</f>
        <v>Non-Ducted Indoor Units</v>
      </c>
    </row>
    <row r="21" spans="1:31">
      <c r="A21" s="131"/>
      <c r="B21" s="256">
        <v>113</v>
      </c>
      <c r="C21" s="134">
        <f t="shared" si="0"/>
        <v>0.80354166666666671</v>
      </c>
      <c r="D21" s="134">
        <v>38.57</v>
      </c>
      <c r="Q21" s="133" t="s">
        <v>294</v>
      </c>
      <c r="R21" s="133" t="s">
        <v>336</v>
      </c>
      <c r="S21" s="133" t="s">
        <v>341</v>
      </c>
      <c r="T21" s="269">
        <v>24</v>
      </c>
      <c r="U21" s="269">
        <v>24</v>
      </c>
      <c r="V21" s="269">
        <v>24</v>
      </c>
      <c r="W21" s="133" t="s">
        <v>220</v>
      </c>
      <c r="Y21" s="259" t="s">
        <v>56</v>
      </c>
      <c r="Z21" s="259" t="s">
        <v>272</v>
      </c>
      <c r="AA21" s="259" t="s">
        <v>273</v>
      </c>
      <c r="AB21" s="255" t="s">
        <v>274</v>
      </c>
    </row>
    <row r="22" spans="1:31">
      <c r="A22" s="131"/>
      <c r="B22" s="256">
        <v>122</v>
      </c>
      <c r="C22" s="134">
        <f t="shared" si="0"/>
        <v>0.73416666666666675</v>
      </c>
      <c r="D22" s="134">
        <v>35.24</v>
      </c>
      <c r="Q22" s="133" t="s">
        <v>294</v>
      </c>
      <c r="R22" s="133" t="s">
        <v>337</v>
      </c>
      <c r="S22" s="133" t="s">
        <v>239</v>
      </c>
      <c r="T22" s="269">
        <v>9</v>
      </c>
      <c r="U22" s="269">
        <v>9</v>
      </c>
      <c r="V22" s="269">
        <v>10.9</v>
      </c>
      <c r="W22" s="133" t="s">
        <v>220</v>
      </c>
      <c r="Y22" s="281">
        <f>SMALL($Y$17:$AC$17,1)</f>
        <v>9</v>
      </c>
      <c r="Z22" s="279">
        <f ca="1">IF($Y$20="Non-Ducted Indoor Units",(VLOOKUP($Y$19,IF($Z$6=$O$6,'Non-Ducted'!$AC$4:$CK$6,IF($Z$6=$O$7,'Non-Ducted'!$AC$8:$CK$18,IF($Z$6=$O$8,'Non-Ducted'!$AC$20:$CK$46,IF($Z$6=$O$9,'Non-Ducted'!$AC$48:$CK$91,'Non-Ducted'!$AC$93:$CK$148)))),10,FALSE)),
IF($Y$20="Mixed Ducted and Non-Ducted Indoor Units",(VLOOKUP($Y$19,IF($Z$6=$O$6,'Mixed Ducted and Non-Ducted'!$AC$4:$CK$6,IF($Z$6=$O$7,'Mixed Ducted and Non-Ducted'!$AC$8:$CK$18,IF($Z$6=$O$8,'Mixed Ducted and Non-Ducted'!$AC$20:$CK$46,IF($Z$6=$O$9,'Mixed Ducted and Non-Ducted'!$AC$48:$CK$91,'Mixed Ducted and Non-Ducted'!$AC$93:$CK$148)))),10,FALSE)),
(VLOOKUP($Y$19,IF($Z$6=$O$6,Ducted!$AC$4:$CK$6,IF($Z$6=$O$7,Ducted!$AC$8:$CK$18,IF($Z$6=$O$8,Ducted!$AC$20:$CK$46,IF($Z$6=$O$9,Ducted!$AC$48:$CK$91,Ducted!$AC$93:$CK$148)))),10,FALSE))))</f>
        <v>10.463111111111111</v>
      </c>
      <c r="AA22" s="279">
        <f ca="1">IF($Y$20="Non-Ducted Indoor Units",(VLOOKUP($Y$19,IF($Z$6=$O$6,'Non-Ducted'!$AC$4:$CK$6,IF($Z$6=$O$7,'Non-Ducted'!$AC$8:$CK$18,IF($Z$6=$O$8,'Non-Ducted'!$AC$20:$CK$46,IF($Z$6=$O$9,'Non-Ducted'!$AC$48:$CK$91,'Non-Ducted'!$AC$93:$CK$148)))),34,FALSE)),
IF($Y$20="Mixed Ducted and Non-Ducted Indoor Units",(VLOOKUP($Y$19,IF($Z$6=$O$6,'Mixed Ducted and Non-Ducted'!$AC$4:$CK$6,IF($Z$6=$O$7,'Mixed Ducted and Non-Ducted'!$AC$8:$CK$18,IF($Z$6=$O$8,'Mixed Ducted and Non-Ducted'!$AC$20:$CK$46,IF($Z$6=$O$9,'Mixed Ducted and Non-Ducted'!$AC$48:$CK$91,'Mixed Ducted and Non-Ducted'!$AC$93:$CK$148)))),34,FALSE)),
(VLOOKUP($Y$19,IF($Z$6=$O$6,Ducted!$AC$4:$CK$6,IF($Z$6=$O$7,Ducted!$AC$8:$CK$18,IF($Z$6=$O$8,Ducted!$AC$20:$CK$46,IF($Z$6=$O$9,Ducted!$AC$48:$CK$91,Ducted!$AC$93:$CK$148)))),34,FALSE))))</f>
        <v>11.956020512820512</v>
      </c>
      <c r="AB22" s="279">
        <f ca="1">IF($Y$20="Non-Ducted Indoor Units",(VLOOKUP($Y$19,IF($Z$6=$O$6,'Non-Ducted'!$AC$4:$CK$6,IF($Z$6=$O$7,'Non-Ducted'!$AC$8:$CK$18,IF($Z$6=$O$8,'Non-Ducted'!$AC$20:$CK$46,IF($Z$6=$O$9,'Non-Ducted'!$AC$48:$CK$91,'Non-Ducted'!$AC$93:$CK$148)))),57,FALSE)),
IF($Y$20="Mixed Ducted and Non-Ducted Indoor Units",(VLOOKUP($Y$19,IF($Z$6=$O$6,'Mixed Ducted and Non-Ducted'!$AC$4:$CK$6,IF($Z$6=$O$7,'Mixed Ducted and Non-Ducted'!$AC$8:$CK$18,IF($Z$6=$O$8,'Mixed Ducted and Non-Ducted'!$AC$20:$CK$46,IF($Z$6=$O$9,'Mixed Ducted and Non-Ducted'!$AC$48:$CK$91,'Mixed Ducted and Non-Ducted'!$AC$93:$CK$148)))),57,FALSE)),
(VLOOKUP($Y$19,IF($Z$6=$O$6,Ducted!$AC$4:$CK$6,IF($Z$6=$O$7,Ducted!$AC$8:$CK$18,IF($Z$6=$O$8,Ducted!$AC$20:$CK$46,IF($Z$6=$O$9,Ducted!$AC$48:$CK$91,Ducted!$AC$93:$CK$148)))),57,FALSE))))</f>
        <v>8.1164460594511105</v>
      </c>
    </row>
    <row r="23" spans="1:31">
      <c r="A23" s="131"/>
      <c r="Q23" s="133" t="s">
        <v>294</v>
      </c>
      <c r="R23" s="133" t="s">
        <v>338</v>
      </c>
      <c r="S23" s="133" t="s">
        <v>239</v>
      </c>
      <c r="T23" s="269">
        <v>12</v>
      </c>
      <c r="U23" s="269">
        <v>12</v>
      </c>
      <c r="V23" s="269">
        <v>11.8</v>
      </c>
      <c r="W23" s="133" t="s">
        <v>220</v>
      </c>
      <c r="Y23" s="281">
        <f>SMALL($Y$17:$AC$17,2)</f>
        <v>9</v>
      </c>
      <c r="Z23" s="279">
        <f ca="1">IF($Y$20="Non-Ducted Indoor Units",(VLOOKUP($Y$19,IF($Z$6=$O$6,'Non-Ducted'!$AC$4:$CK$6,IF($Z$6=$O$7,'Non-Ducted'!$AC$8:$CK$18,IF($Z$6=$O$8,'Non-Ducted'!$AC$20:$CK$46,IF($Z$6=$O$9,'Non-Ducted'!$AC$48:$CK$91,'Non-Ducted'!$AC$93:$CK$148)))),11,FALSE)),
IF($Y$20="Mixed Ducted and Non-Ducted Indoor Units",(VLOOKUP($Y$19,IF($Z$6=$O$6,'Mixed Ducted and Non-Ducted'!$AC$4:$CK$6,IF($Z$6=$O$7,'Mixed Ducted and Non-Ducted'!$AC$8:$CK$18,IF($Z$6=$O$8,'Mixed Ducted and Non-Ducted'!$AC$20:$CK$46,IF($Z$6=$O$9,'Mixed Ducted and Non-Ducted'!$AC$48:$CK$91,'Mixed Ducted and Non-Ducted'!$AC$93:$CK$148)))),11,FALSE)),
(VLOOKUP($Y$19,IF($Z$6=$O$6,Ducted!$AC$4:$CK$6,IF($Z$6=$O$7,Ducted!$AC$8:$CK$18,IF($Z$6=$O$8,Ducted!$AC$20:$CK$46,IF($Z$6=$O$9,Ducted!$AC$48:$CK$91,Ducted!$AC$93:$CK$148)))),11,FALSE))))</f>
        <v>10.463111111111111</v>
      </c>
      <c r="AA23" s="279">
        <f ca="1">IF($Y$20="Non-Ducted Indoor Units",(VLOOKUP($Y$19,IF($Z$6=$O$6,'Non-Ducted'!$AC$4:$CK$6,IF($Z$6=$O$7,'Non-Ducted'!$AC$8:$CK$18,IF($Z$6=$O$8,'Non-Ducted'!$AC$20:$CK$46,IF($Z$6=$O$9,'Non-Ducted'!$AC$48:$CK$91,'Non-Ducted'!$AC$93:$CK$148)))),35,FALSE)),
IF($Y$20="Mixed Ducted and Non-Ducted Indoor Units",(VLOOKUP($Y$19,IF($Z$6=$O$6,'Mixed Ducted and Non-Ducted'!$AC$4:$CK$6,IF($Z$6=$O$7,'Mixed Ducted and Non-Ducted'!$AC$8:$CK$18,IF($Z$6=$O$8,'Mixed Ducted and Non-Ducted'!$AC$20:$CK$46,IF($Z$6=$O$9,'Mixed Ducted and Non-Ducted'!$AC$48:$CK$91,'Mixed Ducted and Non-Ducted'!$AC$93:$CK$148)))),35,FALSE)),
(VLOOKUP($Y$19,IF($Z$6=$O$6,Ducted!$AC$4:$CK$6,IF($Z$6=$O$7,Ducted!$AC$8:$CK$18,IF($Z$6=$O$8,Ducted!$AC$20:$CK$46,IF($Z$6=$O$9,Ducted!$AC$48:$CK$91,Ducted!$AC$93:$CK$148)))),35,FALSE))))</f>
        <v>11.956020512820512</v>
      </c>
      <c r="AB23" s="279">
        <f ca="1">IF($Y$20="Non-Ducted Indoor Units",(VLOOKUP($Y$19,IF($Z$6=$O$6,'Non-Ducted'!$AC$4:$CK$6,IF($Z$6=$O$7,'Non-Ducted'!$AC$8:$CK$18,IF($Z$6=$O$8,'Non-Ducted'!$AC$20:$CK$46,IF($Z$6=$O$9,'Non-Ducted'!$AC$48:$CK$91,'Non-Ducted'!$AC$93:$CK$148)))),58,FALSE)),
IF($Y$20="Mixed Ducted and Non-Ducted Indoor Units",(VLOOKUP($Y$19,IF($Z$6=$O$6,'Mixed Ducted and Non-Ducted'!$AC$4:$CK$6,IF($Z$6=$O$7,'Mixed Ducted and Non-Ducted'!$AC$8:$CK$18,IF($Z$6=$O$8,'Mixed Ducted and Non-Ducted'!$AC$20:$CK$46,IF($Z$6=$O$9,'Mixed Ducted and Non-Ducted'!$AC$48:$CK$91,'Mixed Ducted and Non-Ducted'!$AC$93:$CK$148)))),58,FALSE)),
(VLOOKUP($Y$19,IF($Z$6=$O$6,Ducted!$AC$4:$CK$6,IF($Z$6=$O$7,Ducted!$AC$8:$CK$18,IF($Z$6=$O$8,Ducted!$AC$20:$CK$46,IF($Z$6=$O$9,Ducted!$AC$48:$CK$91,Ducted!$AC$93:$CK$148)))),58,FALSE))))</f>
        <v>8.1164460594511105</v>
      </c>
    </row>
    <row r="24" spans="1:31">
      <c r="A24" s="131"/>
      <c r="Q24" s="133" t="s">
        <v>294</v>
      </c>
      <c r="R24" s="133" t="s">
        <v>339</v>
      </c>
      <c r="S24" s="133" t="s">
        <v>239</v>
      </c>
      <c r="T24" s="269">
        <v>18</v>
      </c>
      <c r="U24" s="269">
        <v>17</v>
      </c>
      <c r="V24" s="269">
        <v>18</v>
      </c>
      <c r="W24" s="133" t="s">
        <v>220</v>
      </c>
      <c r="Y24" s="281" t="e">
        <f>SMALL($Y$17:$AC$17,3)</f>
        <v>#NUM!</v>
      </c>
      <c r="Z24" s="279">
        <f>IF($Y$20="Non-Ducted Indoor Units",(VLOOKUP($Y$19,IF($Z$6=$O$6,'Non-Ducted'!$AC$4:$CK$6,IF($Z$6=$O$7,'Non-Ducted'!$AC$8:$CK$18,IF($Z$6=$O$8,'Non-Ducted'!$AC$20:$CK$46,IF($Z$6=$O$9,'Non-Ducted'!$AC$48:$CK$91,'Non-Ducted'!$AC$93:$CK$148)))),12,FALSE)),
IF($Y$20="Mixed Ducted and Non-Ducted Indoor Units",(VLOOKUP($Y$19,IF($Z$6=$O$6,'Mixed Ducted and Non-Ducted'!$AC$4:$CK$6,IF($Z$6=$O$7,'Mixed Ducted and Non-Ducted'!$AC$8:$CK$18,IF($Z$6=$O$8,'Mixed Ducted and Non-Ducted'!$AC$20:$CK$46,IF($Z$6=$O$9,'Mixed Ducted and Non-Ducted'!$AC$48:$CK$91,'Mixed Ducted and Non-Ducted'!$AC$93:$CK$148)))),12,FALSE)),
(VLOOKUP($Y$19,IF($Z$6=$O$6,Ducted!$AC$4:$CK$6,IF($Z$6=$O$7,Ducted!$AC$8:$CK$18,IF($Z$6=$O$8,Ducted!$AC$20:$CK$46,IF($Z$6=$O$9,Ducted!$AC$48:$CK$91,Ducted!$AC$93:$CK$148)))),12,FALSE))))</f>
        <v>0</v>
      </c>
      <c r="AA24" s="279">
        <f>IF($Y$20="Non-Ducted Indoor Units",(VLOOKUP($Y$19,IF($Z$6=$O$6,'Non-Ducted'!$AC$4:$CK$6,IF($Z$6=$O$7,'Non-Ducted'!$AC$8:$CK$18,IF($Z$6=$O$8,'Non-Ducted'!$AC$20:$CK$46,IF($Z$6=$O$9,'Non-Ducted'!$AC$48:$CK$91,'Non-Ducted'!$AC$93:$CK$148)))),36,FALSE)),
IF($Y$20="Mixed Ducted and Non-Ducted Indoor Units",(VLOOKUP($Y$19,IF($Z$6=$O$6,'Mixed Ducted and Non-Ducted'!$AC$4:$CK$6,IF($Z$6=$O$7,'Mixed Ducted and Non-Ducted'!$AC$8:$CK$18,IF($Z$6=$O$8,'Mixed Ducted and Non-Ducted'!$AC$20:$CK$46,IF($Z$6=$O$9,'Mixed Ducted and Non-Ducted'!$AC$48:$CK$91,'Mixed Ducted and Non-Ducted'!$AC$93:$CK$148)))),36,FALSE)),
(VLOOKUP($Y$19,IF($Z$6=$O$6,Ducted!$AC$4:$CK$6,IF($Z$6=$O$7,Ducted!$AC$8:$CK$18,IF($Z$6=$O$8,Ducted!$AC$20:$CK$46,IF($Z$6=$O$9,Ducted!$AC$48:$CK$91,Ducted!$AC$93:$CK$148)))),36,FALSE))))</f>
        <v>0</v>
      </c>
      <c r="AB24" s="279">
        <f>IF($Y$20="Non-Ducted Indoor Units",(VLOOKUP($Y$19,IF($Z$6=$O$6,'Non-Ducted'!$AC$4:$CK$6,IF($Z$6=$O$7,'Non-Ducted'!$AC$8:$CK$18,IF($Z$6=$O$8,'Non-Ducted'!$AC$20:$CK$46,IF($Z$6=$O$9,'Non-Ducted'!$AC$48:$CK$91,'Non-Ducted'!$AC$93:$CK$148)))),59,FALSE)),
IF($Y$20="Mixed Ducted and Non-Ducted Indoor Units",(VLOOKUP($Y$19,IF($Z$6=$O$6,'Mixed Ducted and Non-Ducted'!$AC$4:$CK$6,IF($Z$6=$O$7,'Mixed Ducted and Non-Ducted'!$AC$8:$CK$18,IF($Z$6=$O$8,'Mixed Ducted and Non-Ducted'!$AC$20:$CK$46,IF($Z$6=$O$9,'Mixed Ducted and Non-Ducted'!$AC$48:$CK$91,'Mixed Ducted and Non-Ducted'!$AC$93:$CK$148)))),59,FALSE)),
(VLOOKUP($Y$19,IF($Z$6=$O$6,Ducted!$AC$4:$CK$6,IF($Z$6=$O$7,Ducted!$AC$8:$CK$18,IF($Z$6=$O$8,Ducted!$AC$20:$CK$46,IF($Z$6=$O$9,Ducted!$AC$48:$CK$91,Ducted!$AC$93:$CK$148)))),59,FALSE))))</f>
        <v>0</v>
      </c>
    </row>
    <row r="25" spans="1:31">
      <c r="A25" s="131"/>
      <c r="B25" s="255"/>
      <c r="C25" s="255" t="s">
        <v>45</v>
      </c>
      <c r="D25" s="255" t="s">
        <v>235</v>
      </c>
      <c r="E25" s="255" t="s">
        <v>234</v>
      </c>
      <c r="F25" s="270" t="s">
        <v>233</v>
      </c>
      <c r="G25" s="255" t="s">
        <v>232</v>
      </c>
      <c r="H25" s="129"/>
      <c r="I25" s="129"/>
      <c r="J25" s="255"/>
      <c r="K25" s="255" t="s">
        <v>128</v>
      </c>
      <c r="L25" s="255" t="s">
        <v>129</v>
      </c>
      <c r="M25" s="255" t="s">
        <v>80</v>
      </c>
      <c r="N25" s="255" t="s">
        <v>130</v>
      </c>
      <c r="O25" s="255" t="s">
        <v>131</v>
      </c>
      <c r="Q25" s="133" t="s">
        <v>294</v>
      </c>
      <c r="R25" s="133" t="s">
        <v>340</v>
      </c>
      <c r="S25" s="133" t="s">
        <v>239</v>
      </c>
      <c r="T25" s="269">
        <v>24</v>
      </c>
      <c r="U25" s="269">
        <v>24</v>
      </c>
      <c r="V25" s="269">
        <v>24</v>
      </c>
      <c r="W25" s="133" t="s">
        <v>220</v>
      </c>
      <c r="Y25" s="281" t="e">
        <f>SMALL($Y$17:$AC$17,4)</f>
        <v>#NUM!</v>
      </c>
      <c r="Z25" s="279">
        <f>IF($Y$20="Non-Ducted Indoor Units",(VLOOKUP($Y$19,IF($Z$6=$O$6,'Non-Ducted'!$AC$4:$CK$6,IF($Z$6=$O$7,'Non-Ducted'!$AC$8:$CK$18,IF($Z$6=$O$8,'Non-Ducted'!$AC$20:$CK$46,IF($Z$6=$O$9,'Non-Ducted'!$AC$48:$CK$91,'Non-Ducted'!$AC$93:$CK$148)))),13,FALSE)),
IF($Y$20="Mixed Ducted and Non-Ducted Indoor Units",(VLOOKUP($Y$19,IF($Z$6=$O$6,'Mixed Ducted and Non-Ducted'!$AC$4:$CK$6,IF($Z$6=$O$7,'Mixed Ducted and Non-Ducted'!$AC$8:$CK$18,IF($Z$6=$O$8,'Mixed Ducted and Non-Ducted'!$AC$20:$CK$46,IF($Z$6=$O$9,'Mixed Ducted and Non-Ducted'!$AC$48:$CK$91,'Mixed Ducted and Non-Ducted'!$AC$93:$CK$148)))),13,FALSE)),
(VLOOKUP($Y$19,IF($Z$6=$O$6,Ducted!$AC$4:$CK$6,IF($Z$6=$O$7,Ducted!$AC$8:$CK$18,IF($Z$6=$O$8,Ducted!$AC$20:$CK$46,IF($Z$6=$O$9,Ducted!$AC$48:$CK$91,Ducted!$AC$93:$CK$148)))),13,FALSE))))</f>
        <v>0</v>
      </c>
      <c r="AA25" s="279">
        <f>IF($Y$20="Non-Ducted Indoor Units",(VLOOKUP($Y$19,IF($Z$6=$O$6,'Non-Ducted'!$AC$4:$CK$6,IF($Z$6=$O$7,'Non-Ducted'!$AC$8:$CK$18,IF($Z$6=$O$8,'Non-Ducted'!$AC$20:$CK$46,IF($Z$6=$O$9,'Non-Ducted'!$AC$48:$CK$91,'Non-Ducted'!$AC$93:$CK$148)))),37,FALSE)),
IF($Y$20="Mixed Ducted and Non-Ducted Indoor Units",(VLOOKUP($Y$19,IF($Z$6=$O$6,'Mixed Ducted and Non-Ducted'!$AC$4:$CK$6,IF($Z$6=$O$7,'Mixed Ducted and Non-Ducted'!$AC$8:$CK$18,IF($Z$6=$O$8,'Mixed Ducted and Non-Ducted'!$AC$20:$CK$46,IF($Z$6=$O$9,'Mixed Ducted and Non-Ducted'!$AC$48:$CK$91,'Mixed Ducted and Non-Ducted'!$AC$93:$CK$148)))),37,FALSE)),
(VLOOKUP($Y$19,IF($Z$6=$O$6,Ducted!$AC$4:$CK$6,IF($Z$6=$O$7,Ducted!$AC$8:$CK$18,IF($Z$6=$O$8,Ducted!$AC$20:$CK$46,IF($Z$6=$O$9,Ducted!$AC$48:$CK$91,Ducted!$AC$93:$CK$148)))),37,FALSE))))</f>
        <v>0</v>
      </c>
      <c r="AB25" s="279">
        <f>IF($Y$20="Non-Ducted Indoor Units",(VLOOKUP($Y$19,IF($Z$6=$O$6,'Non-Ducted'!$AC$4:$CK$6,IF($Z$6=$O$7,'Non-Ducted'!$AC$8:$CK$18,IF($Z$6=$O$8,'Non-Ducted'!$AC$20:$CK$46,IF($Z$6=$O$9,'Non-Ducted'!$AC$48:$CK$91,'Non-Ducted'!$AC$93:$CK$148)))),60,FALSE)),
IF($Y$20="Mixed Ducted and Non-Ducted Indoor Units",(VLOOKUP($Y$19,IF($Z$6=$O$6,'Mixed Ducted and Non-Ducted'!$AC$4:$CK$6,IF($Z$6=$O$7,'Mixed Ducted and Non-Ducted'!$AC$8:$CK$18,IF($Z$6=$O$8,'Mixed Ducted and Non-Ducted'!$AC$20:$CK$46,IF($Z$6=$O$9,'Mixed Ducted and Non-Ducted'!$AC$48:$CK$91,'Mixed Ducted and Non-Ducted'!$AC$93:$CK$148)))),60,FALSE)),
(VLOOKUP($Y$19,IF($Z$6=$O$6,Ducted!$AC$4:$CK$6,IF($Z$6=$O$7,Ducted!$AC$8:$CK$18,IF($Z$6=$O$8,Ducted!$AC$20:$CK$46,IF($Z$6=$O$9,Ducted!$AC$48:$CK$91,Ducted!$AC$93:$CK$148)))),60,FALSE))))</f>
        <v>0</v>
      </c>
    </row>
    <row r="26" spans="1:31">
      <c r="A26" s="131"/>
      <c r="B26" s="256">
        <v>-13</v>
      </c>
      <c r="C26" s="134">
        <v>1.2172222222222222</v>
      </c>
      <c r="D26" s="134">
        <v>1.5104166666666667</v>
      </c>
      <c r="E26" s="134">
        <v>1.371</v>
      </c>
      <c r="F26" s="134">
        <v>1.1827777777777777</v>
      </c>
      <c r="G26" s="134">
        <v>1.1208333333333333</v>
      </c>
      <c r="J26" s="256" t="s">
        <v>34</v>
      </c>
      <c r="K26" s="134">
        <f>$O$2</f>
        <v>95</v>
      </c>
      <c r="L26" s="134">
        <f>$O$2</f>
        <v>95</v>
      </c>
      <c r="M26" s="134">
        <f>$O$2</f>
        <v>95</v>
      </c>
      <c r="N26" s="134">
        <f>$O$2</f>
        <v>95</v>
      </c>
      <c r="O26" s="134">
        <f>$O$2</f>
        <v>95</v>
      </c>
      <c r="Q26" s="133" t="s">
        <v>294</v>
      </c>
      <c r="R26" s="133" t="s">
        <v>208</v>
      </c>
      <c r="S26" s="133" t="s">
        <v>343</v>
      </c>
      <c r="T26" s="269">
        <v>9</v>
      </c>
      <c r="U26" s="269">
        <v>9</v>
      </c>
      <c r="V26" s="269">
        <v>10</v>
      </c>
      <c r="W26" s="133" t="s">
        <v>220</v>
      </c>
      <c r="Y26" s="281" t="e">
        <f>SMALL($Y$17:$AC$17,5)</f>
        <v>#NUM!</v>
      </c>
      <c r="Z26" s="279">
        <f>IF($Y$20="Non-Ducted Indoor Units",(VLOOKUP($Y$19,IF($Z$6=$O$6,'Non-Ducted'!$AC$4:$CK$6,IF($Z$6=$O$7,'Non-Ducted'!$AC$8:$CK$18,IF($Z$6=$O$8,'Non-Ducted'!$AC$20:$CK$46,IF($Z$6=$O$9,'Non-Ducted'!$AC$48:$CK$91,'Non-Ducted'!$AC$93:$CK$148)))),14,FALSE)),
IF($Y$20="Mixed Ducted and Non-Ducted Indoor Units",(VLOOKUP($Y$19,IF($Z$6=$O$6,'Mixed Ducted and Non-Ducted'!$AC$4:$CK$6,IF($Z$6=$O$7,'Mixed Ducted and Non-Ducted'!$AC$8:$CK$18,IF($Z$6=$O$8,'Mixed Ducted and Non-Ducted'!$AC$20:$CK$46,IF($Z$6=$O$9,'Mixed Ducted and Non-Ducted'!$AC$48:$CK$91,'Mixed Ducted and Non-Ducted'!$AC$93:$CK$148)))),14,FALSE)),
(VLOOKUP($Y$19,IF($Z$6=$O$6,Ducted!$AC$4:$CK$6,IF($Z$6=$O$7,Ducted!$AC$8:$CK$18,IF($Z$6=$O$8,Ducted!$AC$20:$CK$46,IF($Z$6=$O$9,Ducted!$AC$48:$CK$91,Ducted!$AC$93:$CK$148)))),14,FALSE))))</f>
        <v>0</v>
      </c>
      <c r="AA26" s="279">
        <f>IF($Y$20="Non-Ducted Indoor Units",(VLOOKUP($Y$19,IF($Z$6=$O$6,'Non-Ducted'!$AC$4:$CK$6,IF($Z$6=$O$7,'Non-Ducted'!$AC$8:$CK$18,IF($Z$6=$O$8,'Non-Ducted'!$AC$20:$CK$46,IF($Z$6=$O$9,'Non-Ducted'!$AC$48:$CK$91,'Non-Ducted'!$AC$93:$CK$148)))),38,FALSE)),
IF($Y$20="Mixed Ducted and Non-Ducted Indoor Units",(VLOOKUP($Y$19,IF($Z$6=$O$6,'Mixed Ducted and Non-Ducted'!$AC$4:$CK$6,IF($Z$6=$O$7,'Mixed Ducted and Non-Ducted'!$AC$8:$CK$18,IF($Z$6=$O$8,'Mixed Ducted and Non-Ducted'!$AC$20:$CK$46,IF($Z$6=$O$9,'Mixed Ducted and Non-Ducted'!$AC$48:$CK$91,'Mixed Ducted and Non-Ducted'!$AC$93:$CK$148)))),38,FALSE)),
(VLOOKUP($Y$19,IF($Z$6=$O$6,Ducted!$AC$4:$CK$6,IF($Z$6=$O$7,Ducted!$AC$8:$CK$18,IF($Z$6=$O$8,Ducted!$AC$20:$CK$46,IF($Z$6=$O$9,Ducted!$AC$48:$CK$91,Ducted!$AC$93:$CK$148)))),38,FALSE))))</f>
        <v>0</v>
      </c>
      <c r="AB26" s="279">
        <f>IF($Y$20="Non-Ducted Indoor Units",(VLOOKUP($Y$19,IF($Z$6=$O$6,'Non-Ducted'!$AC$4:$CK$6,IF($Z$6=$O$7,'Non-Ducted'!$AC$8:$CK$18,IF($Z$6=$O$8,'Non-Ducted'!$AC$20:$CK$46,IF($Z$6=$O$9,'Non-Ducted'!$AC$48:$CK$91,'Non-Ducted'!$AC$93:$CK$148)))),61,FALSE)),
IF($Y$20="Mixed Ducted and Non-Ducted Indoor Units",(VLOOKUP($Y$19,IF($Z$6=$O$6,'Mixed Ducted and Non-Ducted'!$AC$4:$CK$6,IF($Z$6=$O$7,'Mixed Ducted and Non-Ducted'!$AC$8:$CK$18,IF($Z$6=$O$8,'Mixed Ducted and Non-Ducted'!$AC$20:$CK$46,IF($Z$6=$O$9,'Mixed Ducted and Non-Ducted'!$AC$48:$CK$91,'Mixed Ducted and Non-Ducted'!$AC$93:$CK$148)))),61,FALSE)),
(VLOOKUP($Y$19,IF($Z$6=$O$6,Ducted!$AC$4:$CK$6,IF($Z$6=$O$7,Ducted!$AC$8:$CK$18,IF($Z$6=$O$8,Ducted!$AC$20:$CK$46,IF($Z$6=$O$9,Ducted!$AC$48:$CK$91,Ducted!$AC$93:$CK$148)))),61,FALSE))))</f>
        <v>0</v>
      </c>
    </row>
    <row r="27" spans="1:31">
      <c r="A27" s="131"/>
      <c r="B27" s="256">
        <v>-4</v>
      </c>
      <c r="C27" s="134">
        <v>1.2477777777777779</v>
      </c>
      <c r="D27" s="134">
        <v>1.5479166666666666</v>
      </c>
      <c r="E27" s="134">
        <v>1.405</v>
      </c>
      <c r="F27" s="134">
        <v>1.2122222222222223</v>
      </c>
      <c r="G27" s="134">
        <v>1.1487499999999999</v>
      </c>
      <c r="J27" s="256" t="s">
        <v>195</v>
      </c>
      <c r="K27" s="134">
        <f>INDEX($B$26:$B$37,MATCH(K26,$B$26:$B$37,1))</f>
        <v>95</v>
      </c>
      <c r="L27" s="134">
        <f>INDEX($B$26:$B$37,MATCH(L26,$B$26:$B$37,1))</f>
        <v>95</v>
      </c>
      <c r="M27" s="134">
        <f>INDEX($B$26:$B$37,MATCH(M26,$B$26:$B$37,1))</f>
        <v>95</v>
      </c>
      <c r="N27" s="134">
        <f>INDEX($B$26:$B$37,MATCH(N26,$B$26:$B$37,1))</f>
        <v>95</v>
      </c>
      <c r="O27" s="134">
        <f>INDEX($B$26:$B$37,MATCH(O26,$B$26:$B$37,1))</f>
        <v>95</v>
      </c>
      <c r="Q27" s="133" t="s">
        <v>294</v>
      </c>
      <c r="R27" s="133" t="s">
        <v>207</v>
      </c>
      <c r="S27" s="133" t="s">
        <v>343</v>
      </c>
      <c r="T27" s="269">
        <v>12</v>
      </c>
      <c r="U27" s="269">
        <v>12</v>
      </c>
      <c r="V27" s="269">
        <v>12</v>
      </c>
      <c r="W27" s="133" t="s">
        <v>220</v>
      </c>
      <c r="Z27" s="280"/>
      <c r="AA27" s="280"/>
    </row>
    <row r="28" spans="1:31">
      <c r="A28" s="131"/>
      <c r="B28" s="256">
        <v>0</v>
      </c>
      <c r="C28" s="134">
        <v>1.2322222222222221</v>
      </c>
      <c r="D28" s="134">
        <v>1.5516666666666667</v>
      </c>
      <c r="E28" s="134">
        <v>1.417</v>
      </c>
      <c r="F28" s="134">
        <v>1.2030555555555555</v>
      </c>
      <c r="G28" s="134">
        <v>1.1391666666666667</v>
      </c>
      <c r="J28" s="256" t="s">
        <v>193</v>
      </c>
      <c r="K28" s="134">
        <f>INDEX(C26:C37,MATCH(K26,$B$26:$B$37,1))</f>
        <v>1.1966666666666665</v>
      </c>
      <c r="L28" s="134">
        <f>INDEX(D26:D37,MATCH(L26,$B$26:$B$37,1))</f>
        <v>1.3645833333333333</v>
      </c>
      <c r="M28" s="134">
        <f>INDEX(E26:E37,MATCH(M26,$B$26:$B$37,1))</f>
        <v>1.294</v>
      </c>
      <c r="N28" s="134">
        <f>INDEX(F26:F37,MATCH(N26,$B$26:$B$37,1))</f>
        <v>1.1525000000000001</v>
      </c>
      <c r="O28" s="134">
        <f>INDEX(G26:G37,MATCH(O26,$B$26:$B$37,1))</f>
        <v>1.1074999999999999</v>
      </c>
      <c r="Q28" s="133" t="s">
        <v>294</v>
      </c>
      <c r="R28" s="133" t="s">
        <v>329</v>
      </c>
      <c r="S28" s="133" t="s">
        <v>344</v>
      </c>
      <c r="T28" s="269">
        <v>9</v>
      </c>
      <c r="U28" s="269">
        <v>9</v>
      </c>
      <c r="V28" s="269">
        <v>10</v>
      </c>
      <c r="W28" s="133" t="s">
        <v>220</v>
      </c>
      <c r="Z28" s="131"/>
      <c r="AA28" s="280"/>
    </row>
    <row r="29" spans="1:31">
      <c r="A29" s="131"/>
      <c r="B29" s="256">
        <v>5</v>
      </c>
      <c r="C29" s="134">
        <v>1.2516666666666667</v>
      </c>
      <c r="D29" s="134">
        <v>1.5449999999999999</v>
      </c>
      <c r="E29" s="134">
        <v>1.4203333333333332</v>
      </c>
      <c r="F29" s="134">
        <v>1.2263888888888888</v>
      </c>
      <c r="G29" s="134">
        <v>1.1522916666666667</v>
      </c>
      <c r="J29" s="256" t="s">
        <v>191</v>
      </c>
      <c r="K29" s="134">
        <f>INDEX($B$26:$B$37,MATCH(K26,$B$26:$B$37,1)+1)</f>
        <v>104</v>
      </c>
      <c r="L29" s="134">
        <f>INDEX($B$26:$B$37,MATCH(L26,$B$26:$B$37,1)+1)</f>
        <v>104</v>
      </c>
      <c r="M29" s="134">
        <f>INDEX($B$26:$B$37,MATCH(M26,$B$26:$B$37,1)+1)</f>
        <v>104</v>
      </c>
      <c r="N29" s="134">
        <f>INDEX($B$26:$B$37,MATCH(N26,$B$26:$B$37,1)+1)</f>
        <v>104</v>
      </c>
      <c r="O29" s="134">
        <f>INDEX($B$26:$B$37,MATCH(O26,$B$26:$B$37,1)+1)</f>
        <v>104</v>
      </c>
      <c r="Q29" s="133" t="s">
        <v>294</v>
      </c>
      <c r="R29" s="133" t="s">
        <v>330</v>
      </c>
      <c r="S29" s="133" t="s">
        <v>344</v>
      </c>
      <c r="T29" s="269">
        <v>12</v>
      </c>
      <c r="U29" s="269">
        <v>12</v>
      </c>
      <c r="V29" s="269">
        <v>12</v>
      </c>
      <c r="W29" s="133" t="s">
        <v>220</v>
      </c>
      <c r="Z29" s="131"/>
      <c r="AA29" s="280"/>
    </row>
    <row r="30" spans="1:31">
      <c r="A30" s="131"/>
      <c r="B30" s="256">
        <v>17</v>
      </c>
      <c r="C30" s="134">
        <v>1.2694444444444446</v>
      </c>
      <c r="D30" s="134">
        <v>1.5629166666666665</v>
      </c>
      <c r="E30" s="134">
        <v>1.4033333333333333</v>
      </c>
      <c r="F30" s="134">
        <v>1.2372222222222222</v>
      </c>
      <c r="G30" s="134">
        <v>1.1697916666666666</v>
      </c>
      <c r="J30" s="256" t="s">
        <v>189</v>
      </c>
      <c r="K30" s="134">
        <f>INDEX(C26:C37,MATCH(K26,$B$26:$B$37,1)+1)</f>
        <v>0.82333333333333336</v>
      </c>
      <c r="L30" s="134">
        <f>INDEX(D26:D37,MATCH(L26,$B$26:$B$37,1)+1)</f>
        <v>1.0295833333333333</v>
      </c>
      <c r="M30" s="134">
        <f>INDEX(E26:E37,MATCH(M26,$B$26:$B$37,1)+1)</f>
        <v>1.0723333333333334</v>
      </c>
      <c r="N30" s="134">
        <f>INDEX(F26:F37,MATCH(N26,$B$26:$B$37,1)+1)</f>
        <v>0.95666666666666655</v>
      </c>
      <c r="O30" s="134">
        <f>INDEX(G26:G37,MATCH(O26,$B$26:$B$37,1)+1)</f>
        <v>0.85312500000000002</v>
      </c>
      <c r="Q30" s="133" t="s">
        <v>294</v>
      </c>
      <c r="R30" s="133" t="s">
        <v>331</v>
      </c>
      <c r="S30" s="133" t="s">
        <v>238</v>
      </c>
      <c r="T30" s="269">
        <v>9</v>
      </c>
      <c r="U30" s="269">
        <v>9</v>
      </c>
      <c r="V30" s="269">
        <v>10</v>
      </c>
      <c r="W30" s="133" t="s">
        <v>220</v>
      </c>
      <c r="Z30" s="131"/>
      <c r="AA30" s="280"/>
    </row>
    <row r="31" spans="1:31">
      <c r="A31" s="131"/>
      <c r="B31" s="256">
        <v>47</v>
      </c>
      <c r="C31" s="134">
        <v>1.3416666666666666</v>
      </c>
      <c r="D31" s="134">
        <v>1.57</v>
      </c>
      <c r="E31" s="134">
        <v>1.4203333333333332</v>
      </c>
      <c r="F31" s="134">
        <v>1.2505555555555556</v>
      </c>
      <c r="G31" s="134">
        <v>1.1816666666666666</v>
      </c>
      <c r="J31" s="256"/>
      <c r="K31" s="134"/>
      <c r="L31" s="134"/>
      <c r="M31" s="134"/>
      <c r="N31" s="134"/>
      <c r="O31" s="134"/>
      <c r="Q31" s="133" t="s">
        <v>294</v>
      </c>
      <c r="R31" s="133" t="s">
        <v>332</v>
      </c>
      <c r="S31" s="133" t="s">
        <v>238</v>
      </c>
      <c r="T31" s="269">
        <v>12</v>
      </c>
      <c r="U31" s="269">
        <v>12</v>
      </c>
      <c r="V31" s="269">
        <v>12</v>
      </c>
      <c r="W31" s="133" t="s">
        <v>220</v>
      </c>
      <c r="Z31" s="131"/>
      <c r="AA31" s="280"/>
    </row>
    <row r="32" spans="1:31">
      <c r="A32" s="131"/>
      <c r="B32" s="256">
        <v>77</v>
      </c>
      <c r="C32" s="134">
        <v>1.395</v>
      </c>
      <c r="D32" s="134">
        <v>1.56375</v>
      </c>
      <c r="E32" s="134">
        <v>1.4136666666666666</v>
      </c>
      <c r="F32" s="134">
        <v>1.276111111111111</v>
      </c>
      <c r="G32" s="134">
        <v>1.2554166666666666</v>
      </c>
      <c r="J32" s="256" t="s">
        <v>32</v>
      </c>
      <c r="K32" s="134">
        <f>K28+(K26-K27)*(K30-K28)/(K29-K27)</f>
        <v>1.1966666666666665</v>
      </c>
      <c r="L32" s="134">
        <f>L28+(L26-L27)*(L30-L28)/(L29-L27)</f>
        <v>1.3645833333333333</v>
      </c>
      <c r="M32" s="134">
        <f>M28+(M26-M27)*(M30-M28)/(M29-M27)</f>
        <v>1.294</v>
      </c>
      <c r="N32" s="134">
        <f>N28+(N26-N27)*(N30-N28)/(N29-N27)</f>
        <v>1.1525000000000001</v>
      </c>
      <c r="O32" s="134">
        <f>O28+(O26-O27)*(O30-O28)/(O29-O27)</f>
        <v>1.1074999999999999</v>
      </c>
      <c r="Q32" s="133" t="s">
        <v>294</v>
      </c>
      <c r="R32" s="133" t="s">
        <v>206</v>
      </c>
      <c r="S32" s="133" t="s">
        <v>236</v>
      </c>
      <c r="T32" s="269">
        <v>9</v>
      </c>
      <c r="U32" s="269">
        <v>8.5</v>
      </c>
      <c r="V32" s="269">
        <v>9.8000000000000007</v>
      </c>
      <c r="W32" s="133" t="s">
        <v>220</v>
      </c>
      <c r="Z32" s="131"/>
      <c r="AA32" s="280"/>
    </row>
    <row r="33" spans="1:27">
      <c r="A33" s="131"/>
      <c r="B33" s="256">
        <v>86</v>
      </c>
      <c r="C33" s="134">
        <v>1.3250000000000002</v>
      </c>
      <c r="D33" s="134">
        <v>1.4745833333333334</v>
      </c>
      <c r="E33" s="134">
        <v>1.3543333333333334</v>
      </c>
      <c r="F33" s="134">
        <v>1.214722222222222</v>
      </c>
      <c r="G33" s="134">
        <v>1.1837500000000001</v>
      </c>
      <c r="Q33" s="133" t="s">
        <v>294</v>
      </c>
      <c r="R33" s="133" t="s">
        <v>205</v>
      </c>
      <c r="S33" s="133" t="s">
        <v>236</v>
      </c>
      <c r="T33" s="269">
        <v>12</v>
      </c>
      <c r="U33" s="269">
        <v>12</v>
      </c>
      <c r="V33" s="269">
        <v>12</v>
      </c>
      <c r="W33" s="133" t="s">
        <v>220</v>
      </c>
      <c r="Z33" s="280"/>
      <c r="AA33" s="280"/>
    </row>
    <row r="34" spans="1:27">
      <c r="A34" s="131"/>
      <c r="B34" s="256">
        <v>95</v>
      </c>
      <c r="C34" s="134">
        <v>1.1966666666666665</v>
      </c>
      <c r="D34" s="134">
        <v>1.3645833333333333</v>
      </c>
      <c r="E34" s="134">
        <v>1.294</v>
      </c>
      <c r="F34" s="134">
        <v>1.1525000000000001</v>
      </c>
      <c r="G34" s="134">
        <v>1.1074999999999999</v>
      </c>
      <c r="Q34" s="133" t="s">
        <v>294</v>
      </c>
      <c r="R34" s="133" t="s">
        <v>204</v>
      </c>
      <c r="S34" s="133" t="s">
        <v>236</v>
      </c>
      <c r="T34" s="269">
        <v>18</v>
      </c>
      <c r="U34" s="269">
        <v>18</v>
      </c>
      <c r="V34" s="269">
        <v>18</v>
      </c>
      <c r="W34" s="133" t="s">
        <v>220</v>
      </c>
      <c r="Z34" s="280"/>
      <c r="AA34" s="280"/>
    </row>
    <row r="35" spans="1:27">
      <c r="A35" s="131"/>
      <c r="B35" s="256">
        <v>104</v>
      </c>
      <c r="C35" s="134">
        <v>0.82333333333333336</v>
      </c>
      <c r="D35" s="134">
        <v>1.0295833333333333</v>
      </c>
      <c r="E35" s="134">
        <v>1.0723333333333334</v>
      </c>
      <c r="F35" s="134">
        <v>0.95666666666666655</v>
      </c>
      <c r="G35" s="134">
        <v>0.85312500000000002</v>
      </c>
      <c r="Q35" s="133" t="s">
        <v>294</v>
      </c>
      <c r="R35" s="133" t="s">
        <v>203</v>
      </c>
      <c r="S35" s="133" t="s">
        <v>236</v>
      </c>
      <c r="T35" s="269">
        <v>24</v>
      </c>
      <c r="U35" s="269">
        <v>22</v>
      </c>
      <c r="V35" s="269">
        <v>25</v>
      </c>
      <c r="W35" s="133" t="s">
        <v>220</v>
      </c>
      <c r="Z35" s="280"/>
      <c r="AA35" s="280"/>
    </row>
    <row r="36" spans="1:27">
      <c r="A36" s="131"/>
      <c r="B36" s="256">
        <v>113</v>
      </c>
      <c r="C36" s="134">
        <v>0.79</v>
      </c>
      <c r="D36" s="134">
        <v>0.99833333333333341</v>
      </c>
      <c r="E36" s="134">
        <v>1.0156666666666667</v>
      </c>
      <c r="F36" s="134">
        <v>0.88694444444444442</v>
      </c>
      <c r="G36" s="134">
        <v>0.80354166666666671</v>
      </c>
      <c r="Q36" s="133" t="s">
        <v>293</v>
      </c>
      <c r="R36" s="133" t="s">
        <v>202</v>
      </c>
      <c r="S36" s="133" t="s">
        <v>231</v>
      </c>
      <c r="T36" s="269">
        <v>9</v>
      </c>
      <c r="U36" s="269">
        <v>9</v>
      </c>
      <c r="V36" s="269">
        <v>9</v>
      </c>
      <c r="W36" s="133" t="s">
        <v>220</v>
      </c>
    </row>
    <row r="37" spans="1:27">
      <c r="A37" s="131"/>
      <c r="B37" s="256">
        <v>122</v>
      </c>
      <c r="C37" s="134">
        <v>0.57777777777777783</v>
      </c>
      <c r="D37" s="134">
        <v>0.83958333333333324</v>
      </c>
      <c r="E37" s="134">
        <v>0.91766666666666674</v>
      </c>
      <c r="F37" s="134">
        <v>0.75444444444444447</v>
      </c>
      <c r="G37" s="134">
        <v>0.73416666666666675</v>
      </c>
      <c r="Q37" s="133" t="s">
        <v>293</v>
      </c>
      <c r="R37" s="133" t="s">
        <v>201</v>
      </c>
      <c r="S37" s="133" t="s">
        <v>231</v>
      </c>
      <c r="T37" s="269">
        <v>12</v>
      </c>
      <c r="U37" s="269">
        <v>12</v>
      </c>
      <c r="V37" s="269">
        <v>12</v>
      </c>
      <c r="W37" s="133" t="s">
        <v>220</v>
      </c>
    </row>
    <row r="38" spans="1:27">
      <c r="A38" s="131"/>
      <c r="Q38" s="133" t="s">
        <v>293</v>
      </c>
      <c r="R38" s="133" t="s">
        <v>200</v>
      </c>
      <c r="S38" s="133" t="s">
        <v>231</v>
      </c>
      <c r="T38" s="269">
        <v>18</v>
      </c>
      <c r="U38" s="269">
        <v>16</v>
      </c>
      <c r="V38" s="269">
        <v>18</v>
      </c>
      <c r="W38" s="133" t="s">
        <v>220</v>
      </c>
    </row>
    <row r="39" spans="1:27">
      <c r="A39" s="131"/>
      <c r="Q39" s="133" t="s">
        <v>293</v>
      </c>
      <c r="R39" s="133" t="s">
        <v>199</v>
      </c>
      <c r="S39" s="133" t="s">
        <v>229</v>
      </c>
      <c r="T39" s="269">
        <v>24</v>
      </c>
      <c r="U39" s="269">
        <v>24</v>
      </c>
      <c r="V39" s="269">
        <v>24</v>
      </c>
      <c r="W39" s="133" t="s">
        <v>220</v>
      </c>
    </row>
    <row r="40" spans="1:27">
      <c r="A40" s="131"/>
      <c r="Q40" s="133" t="s">
        <v>226</v>
      </c>
      <c r="R40" s="133" t="s">
        <v>88</v>
      </c>
      <c r="S40" s="133" t="s">
        <v>226</v>
      </c>
      <c r="T40" s="269">
        <v>9</v>
      </c>
      <c r="U40" s="269">
        <v>9</v>
      </c>
      <c r="V40" s="269">
        <v>10</v>
      </c>
      <c r="W40" s="133" t="s">
        <v>225</v>
      </c>
    </row>
    <row r="41" spans="1:27">
      <c r="A41" s="131"/>
      <c r="Q41" s="133" t="s">
        <v>226</v>
      </c>
      <c r="R41" s="133" t="s">
        <v>198</v>
      </c>
      <c r="S41" s="133" t="s">
        <v>226</v>
      </c>
      <c r="T41" s="269">
        <v>12</v>
      </c>
      <c r="U41" s="269">
        <v>12</v>
      </c>
      <c r="V41" s="269">
        <v>12</v>
      </c>
      <c r="W41" s="133" t="s">
        <v>225</v>
      </c>
    </row>
    <row r="42" spans="1:27">
      <c r="A42" s="131"/>
      <c r="Q42" s="133" t="s">
        <v>226</v>
      </c>
      <c r="R42" s="133" t="s">
        <v>197</v>
      </c>
      <c r="S42" s="133" t="s">
        <v>226</v>
      </c>
      <c r="T42" s="269">
        <v>18</v>
      </c>
      <c r="U42" s="269">
        <v>16.5</v>
      </c>
      <c r="V42" s="269">
        <v>19</v>
      </c>
      <c r="W42" s="133" t="s">
        <v>225</v>
      </c>
    </row>
    <row r="43" spans="1:27">
      <c r="A43" s="131"/>
      <c r="Q43" s="133" t="s">
        <v>226</v>
      </c>
      <c r="R43" s="133" t="s">
        <v>196</v>
      </c>
      <c r="S43" s="133" t="s">
        <v>226</v>
      </c>
      <c r="T43" s="269">
        <v>24</v>
      </c>
      <c r="U43" s="269">
        <v>24</v>
      </c>
      <c r="V43" s="269">
        <v>24</v>
      </c>
      <c r="W43" s="133" t="s">
        <v>225</v>
      </c>
    </row>
    <row r="44" spans="1:27">
      <c r="A44" s="131"/>
      <c r="Q44" s="133" t="s">
        <v>409</v>
      </c>
      <c r="R44" s="133" t="s">
        <v>410</v>
      </c>
      <c r="S44" s="133" t="s">
        <v>411</v>
      </c>
      <c r="T44" s="269">
        <v>24</v>
      </c>
      <c r="U44" s="269">
        <v>24</v>
      </c>
      <c r="V44" s="269">
        <v>24</v>
      </c>
      <c r="W44" s="133" t="s">
        <v>225</v>
      </c>
    </row>
    <row r="45" spans="1:27">
      <c r="A45" s="131"/>
      <c r="Q45" s="133" t="s">
        <v>223</v>
      </c>
      <c r="R45" s="133" t="s">
        <v>194</v>
      </c>
      <c r="S45" s="133" t="s">
        <v>223</v>
      </c>
      <c r="T45" s="269">
        <v>12</v>
      </c>
      <c r="U45" s="269">
        <v>12</v>
      </c>
      <c r="V45" s="269">
        <v>12</v>
      </c>
      <c r="W45" s="133" t="s">
        <v>220</v>
      </c>
    </row>
    <row r="46" spans="1:27">
      <c r="A46" s="131"/>
      <c r="Q46" s="133" t="s">
        <v>223</v>
      </c>
      <c r="R46" s="133" t="s">
        <v>192</v>
      </c>
      <c r="S46" s="133" t="s">
        <v>221</v>
      </c>
      <c r="T46" s="269">
        <v>18</v>
      </c>
      <c r="U46" s="269">
        <v>18</v>
      </c>
      <c r="V46" s="269">
        <v>18</v>
      </c>
      <c r="W46" s="133" t="s">
        <v>220</v>
      </c>
    </row>
    <row r="47" spans="1:27">
      <c r="A47" s="131"/>
      <c r="Q47" s="133" t="s">
        <v>223</v>
      </c>
      <c r="R47" s="133" t="s">
        <v>190</v>
      </c>
      <c r="S47" s="133" t="s">
        <v>221</v>
      </c>
      <c r="T47" s="269">
        <v>24</v>
      </c>
      <c r="U47" s="269">
        <v>24</v>
      </c>
      <c r="V47" s="269">
        <v>24</v>
      </c>
      <c r="W47" s="133" t="s">
        <v>220</v>
      </c>
    </row>
    <row r="48" spans="1:27">
      <c r="A48" s="131"/>
    </row>
    <row r="49" spans="1:35">
      <c r="A49" s="131"/>
    </row>
    <row r="50" spans="1:35">
      <c r="A50" s="131"/>
      <c r="AE50" s="255" t="s">
        <v>276</v>
      </c>
      <c r="AF50" s="259" t="s">
        <v>56</v>
      </c>
      <c r="AG50" s="259" t="s">
        <v>272</v>
      </c>
      <c r="AH50" s="259" t="s">
        <v>273</v>
      </c>
      <c r="AI50" s="255" t="s">
        <v>274</v>
      </c>
    </row>
    <row r="51" spans="1:35">
      <c r="A51" s="131"/>
      <c r="AD51" s="256" t="str">
        <f>IFERROR(VLOOKUP(AE51,$R$14:$W$47,6,FALSE),"")</f>
        <v>L</v>
      </c>
      <c r="AE51" s="256" t="str">
        <f>'Multizone Sizing Tool'!H29</f>
        <v>40MAQB09B--3</v>
      </c>
      <c r="AF51" s="282">
        <f>IFERROR(VLOOKUP(AE51,$R$13:$T$47,3,FALSE),"")</f>
        <v>9</v>
      </c>
      <c r="AG51" s="134">
        <f ca="1">IFERROR(IF(OR($AE51=$R$32,$AE51=$R$33,$AE51=$R$34,$AE51=$R$35),VLOOKUP($AF51,$Y$22:$Z$26,2,FALSE)-1,VLOOKUP($AF51,$Y$22:$Z$26,2,FALSE)),"")</f>
        <v>10.463111111111111</v>
      </c>
      <c r="AH51" s="134">
        <f ca="1">IFERROR(IF(OR($AE51=$R$32,$AE51=$R$33,$AE51=$R$34,$AE51=$R$35),VLOOKUP($AF51,$Y$22:$AA$26,3,FALSE)-1,VLOOKUP($AF51,$Y$22:$AA$26,3,FALSE)),"")</f>
        <v>11.956020512820512</v>
      </c>
      <c r="AI51" s="134">
        <f ca="1">IFERROR(IF(OR($AE51=$R$32,$AE51=$R$33,$AE51=$R$34,$AE51=$R$35),VLOOKUP($AF51,$Y$22:$AB$26,4,FALSE)-1,VLOOKUP($AF51,$Y$22:$AB$26,4,FALSE)),"")</f>
        <v>8.1164460594511105</v>
      </c>
    </row>
    <row r="52" spans="1:35">
      <c r="A52" s="131"/>
      <c r="AD52" s="256" t="str">
        <f>IFERROR(VLOOKUP(AE52,$R$14:$W$47,6,FALSE),"")</f>
        <v>L</v>
      </c>
      <c r="AE52" s="256" t="str">
        <f>'Multizone Sizing Tool'!H30</f>
        <v>40MHHQ09---3</v>
      </c>
      <c r="AF52" s="282">
        <f>IFERROR(VLOOKUP(AE52,$R$13:$T$47,3,FALSE),"")</f>
        <v>9</v>
      </c>
      <c r="AG52" s="134">
        <f ca="1">IFERROR(IF(OR($AE52=$R$32,$AE52=$R$33,$AE52=$R$34,$AE52=$R$35),VLOOKUP($AF52,$Y$22:$Z$26,2,FALSE)-1,VLOOKUP($AF52,$Y$22:$Z$26,2,FALSE)),"")</f>
        <v>9.463111111111111</v>
      </c>
      <c r="AH52" s="134">
        <f ca="1">IFERROR(IF(OR($AE52=$R$32,$AE52=$R$33,$AE52=$R$34,$AE52=$R$35),VLOOKUP($AF52,$Y$22:$AA$26,3,FALSE)-1,VLOOKUP($AF52,$Y$22:$AA$26,3,FALSE)),"")</f>
        <v>10.956020512820512</v>
      </c>
      <c r="AI52" s="134">
        <f ca="1">IFERROR(IF(OR($AE52=$R$32,$AE52=$R$33,$AE52=$R$34,$AE52=$R$35),VLOOKUP($AF52,$Y$22:$AB$26,4,FALSE)-1,VLOOKUP($AF52,$Y$22:$AB$26,4,FALSE)),"")</f>
        <v>7.1164460594511105</v>
      </c>
    </row>
    <row r="53" spans="1:35">
      <c r="A53" s="131"/>
      <c r="AD53" s="256" t="str">
        <f>IFERROR(VLOOKUP(AE53,$R$14:$W$47,6,FALSE),"")</f>
        <v/>
      </c>
      <c r="AE53" s="256">
        <f>'Multizone Sizing Tool'!H31</f>
        <v>0</v>
      </c>
      <c r="AF53" s="282" t="str">
        <f>IFERROR(VLOOKUP(AE53,$R$14:$T$47,3,FALSE),"")</f>
        <v/>
      </c>
      <c r="AG53" s="134" t="str">
        <f>IFERROR(IF(OR($AE53=$R$32,$AE53=$R$33,$AE53=$R$34,$AE53=$R$35),VLOOKUP($AF53,$Y$22:$Z$26,2,FALSE)-1,VLOOKUP($AF53,$Y$22:$Z$26,2,FALSE)),"")</f>
        <v/>
      </c>
      <c r="AH53" s="134" t="str">
        <f>IFERROR(IF(OR($AE53=$R$32,$AE53=$R$33,$AE53=$R$34,$AE53=$R$35),VLOOKUP($AF53,$Y$22:$AA$26,3,FALSE)-1,VLOOKUP($AF53,$Y$22:$AA$26,3,FALSE)),"")</f>
        <v/>
      </c>
      <c r="AI53" s="134" t="str">
        <f>IFERROR(IF(OR($AE53=$R$32,$AE53=$R$33,$AE53=$R$34,$AE53=$R$35),VLOOKUP($AF53,$Y$22:$AB$26,4,FALSE)-1,VLOOKUP($AF53,$Y$22:$AB$26,4,FALSE)),"")</f>
        <v/>
      </c>
    </row>
    <row r="54" spans="1:35">
      <c r="A54" s="131"/>
      <c r="AD54" s="256" t="str">
        <f>IFERROR(VLOOKUP(AE54,$R$14:$W$47,6,FALSE),"")</f>
        <v/>
      </c>
      <c r="AE54" s="256">
        <f>'Multizone Sizing Tool'!H32</f>
        <v>0</v>
      </c>
      <c r="AF54" s="282" t="str">
        <f>IFERROR(VLOOKUP(AE54,$R$14:$T$47,3,FALSE),"")</f>
        <v/>
      </c>
      <c r="AG54" s="134" t="str">
        <f>IFERROR(IF(OR($AE54=$R$32,$AE54=$R$33,$AE54=$R$34,$AE54=$R$35),VLOOKUP($AF54,$Y$22:$Z$26,2,FALSE)-1,VLOOKUP($AF54,$Y$22:$Z$26,2,FALSE)),"")</f>
        <v/>
      </c>
      <c r="AH54" s="134" t="str">
        <f>IFERROR(IF(OR($AE54=$R$32,$AE54=$R$33,$AE54=$R$34,$AE54=$R$35),VLOOKUP($AF54,$Y$22:$AA$26,3,FALSE)-1,VLOOKUP($AF54,$Y$22:$AA$26,3,FALSE)),"")</f>
        <v/>
      </c>
      <c r="AI54" s="134" t="str">
        <f>IFERROR(IF(OR($AE54=$R$32,$AE54=$R$33,$AE54=$R$34,$AE54=$R$35),VLOOKUP($AF54,$Y$22:$AB$26,4,FALSE)-1,VLOOKUP($AF54,$Y$22:$AB$26,4,FALSE)),"")</f>
        <v/>
      </c>
    </row>
    <row r="55" spans="1:35">
      <c r="A55" s="131"/>
      <c r="AD55" s="276" t="str">
        <f>IFERROR(VLOOKUP(AE55,$R$14:$W$47,6,FALSE),"")</f>
        <v/>
      </c>
      <c r="AE55" s="256">
        <f>'Multizone Sizing Tool'!H33</f>
        <v>0</v>
      </c>
      <c r="AF55" s="282" t="str">
        <f>IFERROR(VLOOKUP(AE55,$R$14:$T$47,3,FALSE),"")</f>
        <v/>
      </c>
      <c r="AG55" s="134" t="str">
        <f>IFERROR(IF(OR($AE55=$R$32,$AE55=$R$33,$AE55=$R$34,$AE55=$R$35),VLOOKUP($AF55,$Y$22:$Z$26,2,FALSE)-1,VLOOKUP($AF55,$Y$22:$Z$26,2,FALSE)),"")</f>
        <v/>
      </c>
      <c r="AH55" s="134" t="str">
        <f>IFERROR(IF(OR($AE55=$R$32,$AE55=$R$33,$AE55=$R$34,$AE55=$R$35),VLOOKUP($AF55,$Y$22:$AA$26,3,FALSE)-1,VLOOKUP($AF55,$Y$22:$AA$26,3,FALSE)),"")</f>
        <v/>
      </c>
      <c r="AI55" s="134" t="str">
        <f>IFERROR(IF(OR($AE55=$R$32,$AE55=$R$33,$AE55=$R$34,$AE55=$R$35),VLOOKUP($AF55,$Y$22:$AB$26,4,FALSE)-1,VLOOKUP($AF55,$Y$22:$AB$26,4,FALSE)),"")</f>
        <v/>
      </c>
    </row>
    <row r="56" spans="1:35">
      <c r="A56" s="131"/>
      <c r="AC56" s="256">
        <f>IFERROR(MATCH("D",AD51:AD55,0),0)</f>
        <v>0</v>
      </c>
      <c r="AD56" s="256">
        <f>IFERROR(MATCH("L",AD51:AD55,0),0)</f>
        <v>1</v>
      </c>
    </row>
    <row r="57" spans="1:35" ht="14.4" thickBot="1">
      <c r="A57" s="131"/>
    </row>
    <row r="58" spans="1:35" ht="14.4" thickBot="1">
      <c r="A58" s="131"/>
      <c r="AB58" s="255" t="str">
        <f>'Multizone Sizing Tool'!E28</f>
        <v>Room Name</v>
      </c>
      <c r="AC58" s="255" t="str">
        <f>'Multizone Sizing Tool'!F28</f>
        <v>Room size (ft²)*</v>
      </c>
      <c r="AD58" s="255" t="str">
        <f>'Multizone Sizing Tool'!H28</f>
        <v>Model Number</v>
      </c>
      <c r="AE58" s="342" t="s">
        <v>269</v>
      </c>
      <c r="AF58" s="342" t="s">
        <v>271</v>
      </c>
      <c r="AG58" s="255" t="s">
        <v>216</v>
      </c>
      <c r="AH58" s="255" t="s">
        <v>215</v>
      </c>
      <c r="AI58" s="256"/>
    </row>
    <row r="59" spans="1:35">
      <c r="A59" s="131"/>
      <c r="AB59" s="256" t="str">
        <f>'Multizone Sizing Tool'!E29</f>
        <v>Bedroom 1</v>
      </c>
      <c r="AC59" s="256">
        <f>'Multizone Sizing Tool'!F29</f>
        <v>0</v>
      </c>
      <c r="AD59" s="256" t="str">
        <f>'Multizone Sizing Tool'!H29</f>
        <v>40MAQB09B--3</v>
      </c>
      <c r="AE59" s="134">
        <f ca="1">'Multizone Sizing Tool'!K29</f>
        <v>10.007601190403218</v>
      </c>
      <c r="AF59" s="134">
        <f ca="1">'Multizone Sizing Tool'!L29</f>
        <v>11.588722327581033</v>
      </c>
      <c r="AG59" s="256">
        <f>AC59*0.035</f>
        <v>0</v>
      </c>
      <c r="AH59" s="256">
        <f>((70-35)/(70-0))*AG59</f>
        <v>0</v>
      </c>
      <c r="AI59" s="256">
        <f ca="1">IFERROR(IF(AND(AH59/AF59&lt;0.25,AH59&lt;&gt;0),1,0),0)</f>
        <v>0</v>
      </c>
    </row>
    <row r="60" spans="1:35">
      <c r="A60" s="131"/>
      <c r="AB60" s="256" t="str">
        <f>'Multizone Sizing Tool'!E30</f>
        <v xml:space="preserve">Bedroom 2 </v>
      </c>
      <c r="AC60" s="256">
        <f>'Multizone Sizing Tool'!F30</f>
        <v>0</v>
      </c>
      <c r="AD60" s="256" t="str">
        <f>'Multizone Sizing Tool'!H30</f>
        <v>40MHHQ09---3</v>
      </c>
      <c r="AE60" s="134">
        <f ca="1">'Multizone Sizing Tool'!K30</f>
        <v>9.0511360354288204</v>
      </c>
      <c r="AF60" s="134">
        <f ca="1">'Multizone Sizing Tool'!L30</f>
        <v>10.619443100002394</v>
      </c>
      <c r="AG60" s="256">
        <f>AC60*0.035</f>
        <v>0</v>
      </c>
      <c r="AH60" s="256">
        <f>((70-35)/(70-0))*AG60</f>
        <v>0</v>
      </c>
      <c r="AI60" s="256">
        <f ca="1">IFERROR(IF(AND(AH60/AF60&lt;0.25,AH60&lt;&gt;0),1,0),0)</f>
        <v>0</v>
      </c>
    </row>
    <row r="61" spans="1:35">
      <c r="A61" s="131"/>
      <c r="AB61" s="256" t="str">
        <f>'Multizone Sizing Tool'!E31</f>
        <v>Bedroom 3</v>
      </c>
      <c r="AC61" s="256">
        <f>'Multizone Sizing Tool'!F31</f>
        <v>0</v>
      </c>
      <c r="AD61" s="256">
        <f>'Multizone Sizing Tool'!H31</f>
        <v>0</v>
      </c>
      <c r="AE61" s="134" t="str">
        <f ca="1">'Multizone Sizing Tool'!K31</f>
        <v/>
      </c>
      <c r="AF61" s="134" t="str">
        <f ca="1">'Multizone Sizing Tool'!L31</f>
        <v/>
      </c>
      <c r="AG61" s="256">
        <f>AC61*0.035</f>
        <v>0</v>
      </c>
      <c r="AH61" s="256">
        <f>((70-35)/(70-0))*AG61</f>
        <v>0</v>
      </c>
      <c r="AI61" s="256">
        <f ca="1">IFERROR(IF(AND(AH61/AF61&lt;0.25,AH61&lt;&gt;0),1,0),0)</f>
        <v>0</v>
      </c>
    </row>
    <row r="62" spans="1:35">
      <c r="A62" s="131"/>
      <c r="AB62" s="256" t="str">
        <f>'Multizone Sizing Tool'!E32</f>
        <v>Bedroom 4</v>
      </c>
      <c r="AC62" s="256">
        <f>'Multizone Sizing Tool'!F32</f>
        <v>0</v>
      </c>
      <c r="AD62" s="256">
        <f>'Multizone Sizing Tool'!H32</f>
        <v>0</v>
      </c>
      <c r="AE62" s="134" t="str">
        <f ca="1">'Multizone Sizing Tool'!K32</f>
        <v/>
      </c>
      <c r="AF62" s="134" t="str">
        <f ca="1">'Multizone Sizing Tool'!L32</f>
        <v/>
      </c>
      <c r="AG62" s="256">
        <f>AC62*0.035</f>
        <v>0</v>
      </c>
      <c r="AH62" s="256">
        <f>((70-35)/(70-0))*AG62</f>
        <v>0</v>
      </c>
      <c r="AI62" s="256">
        <f ca="1">IFERROR(IF(AND(AH62/AF62&lt;0.25,AH62&lt;&gt;0),1,0),0)</f>
        <v>0</v>
      </c>
    </row>
    <row r="63" spans="1:35">
      <c r="A63" s="131"/>
      <c r="AB63" s="256" t="str">
        <f>'Multizone Sizing Tool'!E33</f>
        <v>Bedroom 5</v>
      </c>
      <c r="AC63" s="256">
        <f>'Multizone Sizing Tool'!F33</f>
        <v>0</v>
      </c>
      <c r="AD63" s="256">
        <f>'Multizone Sizing Tool'!H33</f>
        <v>0</v>
      </c>
      <c r="AE63" s="134" t="str">
        <f ca="1">'Multizone Sizing Tool'!K33</f>
        <v/>
      </c>
      <c r="AF63" s="134" t="str">
        <f ca="1">'Multizone Sizing Tool'!L33</f>
        <v/>
      </c>
      <c r="AG63" s="256">
        <f>AC63*0.035</f>
        <v>0</v>
      </c>
      <c r="AH63" s="256">
        <f>((70-35)/(70-0))*AG63</f>
        <v>0</v>
      </c>
      <c r="AI63" s="256">
        <f ca="1">IFERROR(IF(AND(AH63/AF63&lt;0.25,AH63&lt;&gt;0),1,0),0)</f>
        <v>0</v>
      </c>
    </row>
    <row r="64" spans="1:35">
      <c r="A64" s="131"/>
      <c r="AB64" s="256"/>
      <c r="AC64" s="256"/>
      <c r="AD64" s="256"/>
      <c r="AE64" s="256"/>
      <c r="AF64" s="256"/>
      <c r="AG64" s="256"/>
      <c r="AH64" s="256"/>
      <c r="AI64" s="255">
        <f ca="1">SUM(AI59:AI63)</f>
        <v>0</v>
      </c>
    </row>
    <row r="65" spans="1:27">
      <c r="A65" s="131"/>
      <c r="Y65" s="255" t="s">
        <v>276</v>
      </c>
      <c r="Z65" s="255" t="s">
        <v>213</v>
      </c>
      <c r="AA65" s="255" t="s">
        <v>212</v>
      </c>
    </row>
    <row r="66" spans="1:27">
      <c r="A66" s="131"/>
      <c r="Y66" s="256" t="s">
        <v>90</v>
      </c>
      <c r="Z66" s="275">
        <v>0.25</v>
      </c>
      <c r="AA66" s="275">
        <v>0.375</v>
      </c>
    </row>
    <row r="67" spans="1:27">
      <c r="L67" s="255" t="s">
        <v>287</v>
      </c>
      <c r="M67" s="256"/>
      <c r="N67" s="255" t="s">
        <v>34</v>
      </c>
      <c r="O67" s="294">
        <f>$O$3</f>
        <v>45</v>
      </c>
      <c r="Y67" s="256" t="s">
        <v>211</v>
      </c>
      <c r="Z67" s="275">
        <v>0.25</v>
      </c>
      <c r="AA67" s="275">
        <v>0.5</v>
      </c>
    </row>
    <row r="68" spans="1:27">
      <c r="C68" s="255"/>
      <c r="D68" s="255" t="s">
        <v>128</v>
      </c>
      <c r="E68" s="255" t="s">
        <v>129</v>
      </c>
      <c r="F68" s="255" t="s">
        <v>80</v>
      </c>
      <c r="G68" s="255" t="s">
        <v>130</v>
      </c>
      <c r="H68" s="255" t="s">
        <v>131</v>
      </c>
      <c r="L68" s="256">
        <v>19</v>
      </c>
      <c r="M68" s="256">
        <v>0.95</v>
      </c>
      <c r="N68" s="256" t="s">
        <v>195</v>
      </c>
      <c r="O68" s="134">
        <f>INDEX($L$68:$L$73,MATCH(O67,$L$68:$L$73,1))</f>
        <v>45</v>
      </c>
      <c r="Y68" s="256" t="s">
        <v>210</v>
      </c>
      <c r="Z68" s="275">
        <v>0.25</v>
      </c>
      <c r="AA68" s="275">
        <v>0.5</v>
      </c>
    </row>
    <row r="69" spans="1:27">
      <c r="C69" s="256" t="s">
        <v>34</v>
      </c>
      <c r="D69" s="134">
        <f>$O$3</f>
        <v>45</v>
      </c>
      <c r="E69" s="134">
        <f>$O$3</f>
        <v>45</v>
      </c>
      <c r="F69" s="134">
        <f>$O$3</f>
        <v>45</v>
      </c>
      <c r="G69" s="134">
        <f>$O$3</f>
        <v>45</v>
      </c>
      <c r="H69" s="134">
        <f>$O$3</f>
        <v>45</v>
      </c>
      <c r="I69" s="135"/>
      <c r="L69" s="256">
        <v>25</v>
      </c>
      <c r="M69" s="256">
        <v>0.89</v>
      </c>
      <c r="N69" s="256" t="s">
        <v>193</v>
      </c>
      <c r="O69" s="134">
        <f>INDEX(M68:M73,MATCH(O67,$L$68:$L$73,1))</f>
        <v>1</v>
      </c>
      <c r="Y69" s="256" t="s">
        <v>209</v>
      </c>
      <c r="Z69" s="275">
        <v>0.375</v>
      </c>
      <c r="AA69" s="275">
        <v>0.625</v>
      </c>
    </row>
    <row r="70" spans="1:27">
      <c r="C70" s="256" t="s">
        <v>195</v>
      </c>
      <c r="D70" s="134">
        <f>INDEX($B$79:$B$90,MATCH(D69,$B$79:$B$90,1))</f>
        <v>44.6</v>
      </c>
      <c r="E70" s="134">
        <f>INDEX($B$79:$B$90,MATCH(E69,$B$79:$B$90,1))</f>
        <v>44.6</v>
      </c>
      <c r="F70" s="134">
        <f>INDEX($B$79:$B$90,MATCH(F69,$B$79:$B$90,1))</f>
        <v>44.6</v>
      </c>
      <c r="G70" s="134">
        <f>INDEX($B$79:$B$90,MATCH(G69,$B$79:$B$90,1))</f>
        <v>44.6</v>
      </c>
      <c r="H70" s="134">
        <f>INDEX($B$79:$B$90,MATCH(H69,$B$79:$B$90,1))</f>
        <v>44.6</v>
      </c>
      <c r="L70" s="256">
        <v>30</v>
      </c>
      <c r="M70" s="256">
        <v>0.87</v>
      </c>
      <c r="N70" s="256" t="s">
        <v>191</v>
      </c>
      <c r="O70" s="134" t="e">
        <f>INDEX($L$68:$L$73,MATCH(O67,$L$68:$L$73,1)+1)</f>
        <v>#REF!</v>
      </c>
      <c r="Y70" s="256" t="s">
        <v>333</v>
      </c>
      <c r="Z70" s="275">
        <v>0.25</v>
      </c>
      <c r="AA70" s="275">
        <v>0.375</v>
      </c>
    </row>
    <row r="71" spans="1:27">
      <c r="C71" s="256" t="s">
        <v>193</v>
      </c>
      <c r="D71" s="134">
        <f>INDEX(D79:D90,MATCH(D69,$B$79:$B$90,1))</f>
        <v>1.2610526315789474</v>
      </c>
      <c r="E71" s="134">
        <f>INDEX(F79:F90,MATCH(E69,$B$79:$B$90,1))</f>
        <v>1.5747826086956522</v>
      </c>
      <c r="F71" s="134">
        <f>INDEX(H79:H90,MATCH(F69,$B$79:$B$90,1))</f>
        <v>1.3289285714285715</v>
      </c>
      <c r="G71" s="134">
        <f>INDEX(J79:J90,MATCH(G69,$B$79:$B$90,1))</f>
        <v>1.403888888888889</v>
      </c>
      <c r="H71" s="134">
        <f>INDEX(L79:L90,MATCH(H69,$B$79:$B$90,1))</f>
        <v>1.163125</v>
      </c>
      <c r="L71" s="256">
        <v>35</v>
      </c>
      <c r="M71" s="256">
        <v>0.9</v>
      </c>
      <c r="N71" s="256" t="s">
        <v>189</v>
      </c>
      <c r="O71" s="134" t="e">
        <f>INDEX(M68:M73,MATCH(O67,$L$68:$L$73,1)+1)</f>
        <v>#REF!</v>
      </c>
      <c r="Y71" s="256" t="s">
        <v>334</v>
      </c>
      <c r="Z71" s="275">
        <v>0.25</v>
      </c>
      <c r="AA71" s="275">
        <v>0.5</v>
      </c>
    </row>
    <row r="72" spans="1:27">
      <c r="C72" s="256" t="s">
        <v>191</v>
      </c>
      <c r="D72" s="134">
        <f>INDEX($B$79:$B$90,MATCH(D69,$B$79:$B$90,1)+1)</f>
        <v>53.6</v>
      </c>
      <c r="E72" s="134">
        <f>INDEX($B$79:$B$90,MATCH(E69,$B$79:$B$90,1)+1)</f>
        <v>53.6</v>
      </c>
      <c r="F72" s="134">
        <f>INDEX($B$79:$B$90,MATCH(F69,$B$79:$B$90,1)+1)</f>
        <v>53.6</v>
      </c>
      <c r="G72" s="134">
        <f>INDEX($B$79:$B$90,MATCH(G69,$B$79:$B$90,1)+1)</f>
        <v>53.6</v>
      </c>
      <c r="H72" s="134">
        <f>INDEX($B$79:$B$90,MATCH(H69,$B$79:$B$90,1)+1)</f>
        <v>53.6</v>
      </c>
      <c r="L72" s="256">
        <v>40</v>
      </c>
      <c r="M72" s="256">
        <v>1</v>
      </c>
      <c r="N72" s="256"/>
      <c r="O72" s="134"/>
      <c r="Y72" s="256" t="s">
        <v>335</v>
      </c>
      <c r="Z72" s="275">
        <v>0.25</v>
      </c>
      <c r="AA72" s="275">
        <v>0.5</v>
      </c>
    </row>
    <row r="73" spans="1:27">
      <c r="C73" s="256" t="s">
        <v>189</v>
      </c>
      <c r="D73" s="134">
        <f>INDEX(D79:D90,MATCH(D69,$B$79:$B$90,1)+1)</f>
        <v>1.4036842105263159</v>
      </c>
      <c r="E73" s="134">
        <f>INDEX(F79:F90,MATCH(E69,$B$79:$B$90,1)+1)</f>
        <v>1.77</v>
      </c>
      <c r="F73" s="134">
        <f>INDEX(H79:H90,MATCH(F69,$B$79:$B$90,1)+1)</f>
        <v>1.4382142857142859</v>
      </c>
      <c r="G73" s="134">
        <f>INDEX(J79:J90,MATCH(G69,$B$79:$B$90,1)+1)</f>
        <v>1.5102777777777776</v>
      </c>
      <c r="H73" s="134">
        <f>INDEX(L79:L90,MATCH(H69,$B$79:$B$90,1)+1)</f>
        <v>1.3695833333333332</v>
      </c>
      <c r="L73" s="256">
        <v>45</v>
      </c>
      <c r="M73" s="256">
        <v>1</v>
      </c>
      <c r="N73" s="256" t="s">
        <v>32</v>
      </c>
      <c r="O73" s="134" t="e">
        <f>O69+(O67-O68)*(O71-O69)/(O70-O68)</f>
        <v>#REF!</v>
      </c>
      <c r="Y73" s="256" t="s">
        <v>336</v>
      </c>
      <c r="Z73" s="275">
        <v>0.375</v>
      </c>
      <c r="AA73" s="275">
        <v>0.625</v>
      </c>
    </row>
    <row r="74" spans="1:27">
      <c r="C74" s="256"/>
      <c r="D74" s="134"/>
      <c r="E74" s="134"/>
      <c r="F74" s="134"/>
      <c r="G74" s="134"/>
      <c r="H74" s="134"/>
      <c r="Y74" s="256" t="s">
        <v>337</v>
      </c>
      <c r="Z74" s="275">
        <v>0.25</v>
      </c>
      <c r="AA74" s="275">
        <v>0.375</v>
      </c>
    </row>
    <row r="75" spans="1:27">
      <c r="A75" s="136"/>
      <c r="C75" s="256" t="s">
        <v>32</v>
      </c>
      <c r="D75" s="134">
        <f>D71+(D69-D70)*(D73-D71)/(D72-D70)</f>
        <v>1.2673918128654971</v>
      </c>
      <c r="E75" s="134">
        <f>E71+(E69-E70)*(E73-E71)/(E72-E70)</f>
        <v>1.5834589371980676</v>
      </c>
      <c r="F75" s="134">
        <f>F71+(F69-F70)*(F73-F71)/(F72-F70)</f>
        <v>1.3337857142857144</v>
      </c>
      <c r="G75" s="134">
        <f>G71+(G69-G70)*(G73-G71)/(G72-G70)</f>
        <v>1.4086172839506172</v>
      </c>
      <c r="H75" s="134">
        <f>H71+(H69-H70)*(H73-H71)/(H72-H70)</f>
        <v>1.1723009259259258</v>
      </c>
      <c r="Y75" s="256" t="s">
        <v>338</v>
      </c>
      <c r="Z75" s="275">
        <v>0.25</v>
      </c>
      <c r="AA75" s="275">
        <v>0.5</v>
      </c>
    </row>
    <row r="76" spans="1:27">
      <c r="A76" s="137"/>
      <c r="Y76" s="256" t="s">
        <v>339</v>
      </c>
      <c r="Z76" s="275">
        <v>0.25</v>
      </c>
      <c r="AA76" s="275">
        <v>0.5</v>
      </c>
    </row>
    <row r="77" spans="1:27" ht="12.75" customHeight="1">
      <c r="A77" s="136"/>
      <c r="Y77" s="256" t="s">
        <v>340</v>
      </c>
      <c r="Z77" s="275">
        <v>0.375</v>
      </c>
      <c r="AA77" s="275">
        <v>0.625</v>
      </c>
    </row>
    <row r="78" spans="1:27" ht="12.75" customHeight="1">
      <c r="A78" s="138"/>
      <c r="B78" s="255"/>
      <c r="C78" s="255"/>
      <c r="D78" s="255">
        <v>18</v>
      </c>
      <c r="E78" s="255"/>
      <c r="F78" s="255">
        <v>24</v>
      </c>
      <c r="G78" s="255"/>
      <c r="H78" s="255">
        <v>30</v>
      </c>
      <c r="I78" s="255"/>
      <c r="J78" s="255">
        <v>36</v>
      </c>
      <c r="K78" s="255"/>
      <c r="L78" s="255">
        <v>48</v>
      </c>
      <c r="Y78" s="256" t="s">
        <v>208</v>
      </c>
      <c r="Z78" s="275">
        <v>0.25</v>
      </c>
      <c r="AA78" s="275">
        <v>0.375</v>
      </c>
    </row>
    <row r="79" spans="1:27">
      <c r="A79" s="138"/>
      <c r="B79" s="256">
        <v>-22</v>
      </c>
      <c r="C79" s="134">
        <v>5.52</v>
      </c>
      <c r="D79" s="134">
        <f t="shared" ref="D79:D90" si="1">C79/19</f>
        <v>0.29052631578947369</v>
      </c>
      <c r="E79" s="134">
        <v>13.85</v>
      </c>
      <c r="F79" s="134">
        <f t="shared" ref="F79:F90" si="2">E79/23</f>
        <v>0.60217391304347823</v>
      </c>
      <c r="G79" s="134">
        <v>16.7</v>
      </c>
      <c r="H79" s="134">
        <f t="shared" ref="H79:H90" si="3">G79/28</f>
        <v>0.59642857142857142</v>
      </c>
      <c r="I79" s="134">
        <v>23.03</v>
      </c>
      <c r="J79" s="134">
        <f t="shared" ref="J79:J90" si="4">I79/36</f>
        <v>0.6397222222222223</v>
      </c>
      <c r="K79" s="134">
        <v>23.33</v>
      </c>
      <c r="L79" s="134">
        <f t="shared" ref="L79:L90" si="5">K79/48</f>
        <v>0.48604166666666665</v>
      </c>
      <c r="Y79" s="256" t="s">
        <v>207</v>
      </c>
      <c r="Z79" s="275">
        <v>0.25</v>
      </c>
      <c r="AA79" s="275">
        <v>0.5</v>
      </c>
    </row>
    <row r="80" spans="1:27">
      <c r="A80" s="139"/>
      <c r="B80" s="256">
        <v>-13</v>
      </c>
      <c r="C80" s="134">
        <v>6.54</v>
      </c>
      <c r="D80" s="134">
        <f t="shared" si="1"/>
        <v>0.34421052631578947</v>
      </c>
      <c r="E80" s="134">
        <v>17.59</v>
      </c>
      <c r="F80" s="134">
        <f t="shared" si="2"/>
        <v>0.76478260869565218</v>
      </c>
      <c r="G80" s="134">
        <v>20.65</v>
      </c>
      <c r="H80" s="134">
        <f t="shared" si="3"/>
        <v>0.73749999999999993</v>
      </c>
      <c r="I80" s="134">
        <v>27.69</v>
      </c>
      <c r="J80" s="134">
        <f t="shared" si="4"/>
        <v>0.76916666666666667</v>
      </c>
      <c r="K80" s="134">
        <v>28.05</v>
      </c>
      <c r="L80" s="134">
        <f t="shared" si="5"/>
        <v>0.58437499999999998</v>
      </c>
      <c r="Y80" s="256" t="s">
        <v>329</v>
      </c>
      <c r="Z80" s="275">
        <v>0.25</v>
      </c>
      <c r="AA80" s="275">
        <v>0.375</v>
      </c>
    </row>
    <row r="81" spans="1:27" ht="12.75" customHeight="1">
      <c r="A81" s="138"/>
      <c r="B81" s="256">
        <v>-4</v>
      </c>
      <c r="C81" s="134">
        <v>7.69</v>
      </c>
      <c r="D81" s="134">
        <f t="shared" si="1"/>
        <v>0.40473684210526317</v>
      </c>
      <c r="E81" s="134">
        <v>19.84</v>
      </c>
      <c r="F81" s="134">
        <f t="shared" si="2"/>
        <v>0.86260869565217391</v>
      </c>
      <c r="G81" s="134">
        <v>22.05</v>
      </c>
      <c r="H81" s="134">
        <f t="shared" si="3"/>
        <v>0.78749999999999998</v>
      </c>
      <c r="I81" s="134">
        <v>29.04</v>
      </c>
      <c r="J81" s="134">
        <f t="shared" si="4"/>
        <v>0.80666666666666664</v>
      </c>
      <c r="K81" s="134">
        <v>29.42</v>
      </c>
      <c r="L81" s="134">
        <f t="shared" si="5"/>
        <v>0.61291666666666667</v>
      </c>
      <c r="Y81" s="256" t="s">
        <v>330</v>
      </c>
      <c r="Z81" s="275">
        <v>0.25</v>
      </c>
      <c r="AA81" s="275">
        <v>0.5</v>
      </c>
    </row>
    <row r="82" spans="1:27">
      <c r="A82" s="138"/>
      <c r="B82" s="256">
        <v>0</v>
      </c>
      <c r="C82" s="134">
        <v>8.14</v>
      </c>
      <c r="D82" s="134">
        <f t="shared" si="1"/>
        <v>0.42842105263157898</v>
      </c>
      <c r="E82" s="134">
        <v>22.28</v>
      </c>
      <c r="F82" s="134">
        <f t="shared" si="2"/>
        <v>0.96869565217391307</v>
      </c>
      <c r="G82" s="134">
        <v>24.02</v>
      </c>
      <c r="H82" s="134">
        <f t="shared" si="3"/>
        <v>0.85785714285714287</v>
      </c>
      <c r="I82" s="134">
        <v>31.77</v>
      </c>
      <c r="J82" s="134">
        <f t="shared" si="4"/>
        <v>0.88249999999999995</v>
      </c>
      <c r="K82" s="134">
        <v>32.18</v>
      </c>
      <c r="L82" s="134">
        <f t="shared" si="5"/>
        <v>0.67041666666666666</v>
      </c>
      <c r="Y82" s="256" t="s">
        <v>331</v>
      </c>
      <c r="Z82" s="275">
        <v>0.25</v>
      </c>
      <c r="AA82" s="275">
        <v>0.375</v>
      </c>
    </row>
    <row r="83" spans="1:27">
      <c r="A83" s="139"/>
      <c r="B83" s="256">
        <v>5</v>
      </c>
      <c r="C83" s="134">
        <v>13.99</v>
      </c>
      <c r="D83" s="134">
        <f t="shared" si="1"/>
        <v>0.73631578947368426</v>
      </c>
      <c r="E83" s="134">
        <v>24.17</v>
      </c>
      <c r="F83" s="134">
        <f t="shared" si="2"/>
        <v>1.0508695652173914</v>
      </c>
      <c r="G83" s="134">
        <v>28.22</v>
      </c>
      <c r="H83" s="134">
        <f t="shared" si="3"/>
        <v>1.0078571428571428</v>
      </c>
      <c r="I83" s="134">
        <v>36.08</v>
      </c>
      <c r="J83" s="134">
        <f t="shared" si="4"/>
        <v>1.0022222222222221</v>
      </c>
      <c r="K83" s="134">
        <v>36.340000000000003</v>
      </c>
      <c r="L83" s="134">
        <f t="shared" si="5"/>
        <v>0.75708333333333344</v>
      </c>
      <c r="Y83" s="256" t="s">
        <v>332</v>
      </c>
      <c r="Z83" s="275">
        <v>0.25</v>
      </c>
      <c r="AA83" s="275">
        <v>0.5</v>
      </c>
    </row>
    <row r="84" spans="1:27" ht="12.75" customHeight="1">
      <c r="A84" s="138"/>
      <c r="B84" s="256">
        <v>17</v>
      </c>
      <c r="C84" s="134">
        <v>15.02</v>
      </c>
      <c r="D84" s="134">
        <f t="shared" si="1"/>
        <v>0.79052631578947363</v>
      </c>
      <c r="E84" s="134">
        <v>25.15</v>
      </c>
      <c r="F84" s="134">
        <f t="shared" si="2"/>
        <v>1.0934782608695652</v>
      </c>
      <c r="G84" s="134">
        <v>27.67</v>
      </c>
      <c r="H84" s="134">
        <f t="shared" si="3"/>
        <v>0.98821428571428582</v>
      </c>
      <c r="I84" s="134">
        <v>37.409999999999997</v>
      </c>
      <c r="J84" s="134">
        <f t="shared" si="4"/>
        <v>1.0391666666666666</v>
      </c>
      <c r="K84" s="134">
        <v>37.9</v>
      </c>
      <c r="L84" s="134">
        <f t="shared" si="5"/>
        <v>0.7895833333333333</v>
      </c>
      <c r="Y84" s="256" t="s">
        <v>206</v>
      </c>
      <c r="Z84" s="275">
        <v>0.25</v>
      </c>
      <c r="AA84" s="275">
        <v>0.375</v>
      </c>
    </row>
    <row r="85" spans="1:27">
      <c r="A85" s="138"/>
      <c r="B85" s="256">
        <v>19.399999999999999</v>
      </c>
      <c r="C85" s="134">
        <v>15.94</v>
      </c>
      <c r="D85" s="134">
        <f t="shared" si="1"/>
        <v>0.83894736842105255</v>
      </c>
      <c r="E85" s="134">
        <v>25.52</v>
      </c>
      <c r="F85" s="134">
        <f t="shared" si="2"/>
        <v>1.1095652173913044</v>
      </c>
      <c r="G85" s="134">
        <v>28.13</v>
      </c>
      <c r="H85" s="134">
        <f t="shared" si="3"/>
        <v>1.0046428571428572</v>
      </c>
      <c r="I85" s="134">
        <v>37.75</v>
      </c>
      <c r="J85" s="134">
        <f t="shared" si="4"/>
        <v>1.0486111111111112</v>
      </c>
      <c r="K85" s="134">
        <v>38.24</v>
      </c>
      <c r="L85" s="134">
        <f t="shared" si="5"/>
        <v>0.79666666666666675</v>
      </c>
      <c r="Y85" s="256" t="s">
        <v>205</v>
      </c>
      <c r="Z85" s="275">
        <v>0.25</v>
      </c>
      <c r="AA85" s="275">
        <v>0.5</v>
      </c>
    </row>
    <row r="86" spans="1:27">
      <c r="A86" s="139"/>
      <c r="B86" s="256">
        <v>24.8</v>
      </c>
      <c r="C86" s="134">
        <v>17.13</v>
      </c>
      <c r="D86" s="134">
        <f t="shared" si="1"/>
        <v>0.90157894736842104</v>
      </c>
      <c r="E86" s="134">
        <v>27.74</v>
      </c>
      <c r="F86" s="134">
        <f t="shared" si="2"/>
        <v>1.2060869565217391</v>
      </c>
      <c r="G86" s="134">
        <v>31.86</v>
      </c>
      <c r="H86" s="134">
        <f t="shared" si="3"/>
        <v>1.1378571428571429</v>
      </c>
      <c r="I86" s="134">
        <v>39.770000000000003</v>
      </c>
      <c r="J86" s="134">
        <f t="shared" si="4"/>
        <v>1.1047222222222224</v>
      </c>
      <c r="K86" s="134">
        <v>40.29</v>
      </c>
      <c r="L86" s="134">
        <f t="shared" si="5"/>
        <v>0.83937499999999998</v>
      </c>
      <c r="Y86" s="256" t="s">
        <v>204</v>
      </c>
      <c r="Z86" s="275">
        <v>0.25</v>
      </c>
      <c r="AA86" s="275">
        <v>0.5</v>
      </c>
    </row>
    <row r="87" spans="1:27" ht="12.75" customHeight="1">
      <c r="A87" s="138"/>
      <c r="B87" s="256">
        <v>32</v>
      </c>
      <c r="C87" s="134">
        <v>18.93</v>
      </c>
      <c r="D87" s="134">
        <f t="shared" si="1"/>
        <v>0.99631578947368415</v>
      </c>
      <c r="E87" s="134">
        <v>29.89</v>
      </c>
      <c r="F87" s="134">
        <f t="shared" si="2"/>
        <v>1.2995652173913044</v>
      </c>
      <c r="G87" s="134">
        <v>33.96</v>
      </c>
      <c r="H87" s="134">
        <f t="shared" si="3"/>
        <v>1.2128571428571429</v>
      </c>
      <c r="I87" s="134">
        <v>42.39</v>
      </c>
      <c r="J87" s="134">
        <f t="shared" si="4"/>
        <v>1.1775</v>
      </c>
      <c r="K87" s="134">
        <v>42.94</v>
      </c>
      <c r="L87" s="134">
        <f t="shared" si="5"/>
        <v>0.89458333333333329</v>
      </c>
      <c r="Y87" s="256" t="s">
        <v>203</v>
      </c>
      <c r="Z87" s="275">
        <v>0.375</v>
      </c>
      <c r="AA87" s="275">
        <v>0.625</v>
      </c>
    </row>
    <row r="88" spans="1:27">
      <c r="A88" s="138"/>
      <c r="B88" s="256">
        <v>39.200000000000003</v>
      </c>
      <c r="C88" s="134">
        <v>19.66</v>
      </c>
      <c r="D88" s="134">
        <f t="shared" si="1"/>
        <v>1.0347368421052632</v>
      </c>
      <c r="E88" s="134">
        <v>31.21</v>
      </c>
      <c r="F88" s="134">
        <f t="shared" si="2"/>
        <v>1.3569565217391304</v>
      </c>
      <c r="G88" s="134">
        <v>36.08</v>
      </c>
      <c r="H88" s="134">
        <f t="shared" si="3"/>
        <v>1.2885714285714285</v>
      </c>
      <c r="I88" s="134">
        <v>46.46</v>
      </c>
      <c r="J88" s="134">
        <f t="shared" si="4"/>
        <v>1.2905555555555557</v>
      </c>
      <c r="K88" s="134">
        <v>47.06</v>
      </c>
      <c r="L88" s="134">
        <f t="shared" si="5"/>
        <v>0.98041666666666671</v>
      </c>
      <c r="Y88" s="256" t="s">
        <v>202</v>
      </c>
      <c r="Z88" s="275">
        <v>0.25</v>
      </c>
      <c r="AA88" s="275">
        <v>0.375</v>
      </c>
    </row>
    <row r="89" spans="1:27">
      <c r="A89" s="140"/>
      <c r="B89" s="256">
        <v>44.6</v>
      </c>
      <c r="C89" s="134">
        <v>23.96</v>
      </c>
      <c r="D89" s="134">
        <f t="shared" si="1"/>
        <v>1.2610526315789474</v>
      </c>
      <c r="E89" s="134">
        <v>36.22</v>
      </c>
      <c r="F89" s="134">
        <f t="shared" si="2"/>
        <v>1.5747826086956522</v>
      </c>
      <c r="G89" s="134">
        <v>37.21</v>
      </c>
      <c r="H89" s="134">
        <f t="shared" si="3"/>
        <v>1.3289285714285715</v>
      </c>
      <c r="I89" s="134">
        <v>50.54</v>
      </c>
      <c r="J89" s="134">
        <f t="shared" si="4"/>
        <v>1.403888888888889</v>
      </c>
      <c r="K89" s="134">
        <v>55.83</v>
      </c>
      <c r="L89" s="134">
        <f t="shared" si="5"/>
        <v>1.163125</v>
      </c>
      <c r="Y89" s="256" t="s">
        <v>201</v>
      </c>
      <c r="Z89" s="275">
        <v>0.25</v>
      </c>
      <c r="AA89" s="275">
        <v>0.5</v>
      </c>
    </row>
    <row r="90" spans="1:27">
      <c r="A90" s="138"/>
      <c r="B90" s="256">
        <v>53.6</v>
      </c>
      <c r="C90" s="134">
        <v>26.67</v>
      </c>
      <c r="D90" s="134">
        <f t="shared" si="1"/>
        <v>1.4036842105263159</v>
      </c>
      <c r="E90" s="134">
        <v>40.71</v>
      </c>
      <c r="F90" s="134">
        <f t="shared" si="2"/>
        <v>1.77</v>
      </c>
      <c r="G90" s="134">
        <v>40.270000000000003</v>
      </c>
      <c r="H90" s="134">
        <f t="shared" si="3"/>
        <v>1.4382142857142859</v>
      </c>
      <c r="I90" s="134">
        <v>54.37</v>
      </c>
      <c r="J90" s="134">
        <f t="shared" si="4"/>
        <v>1.5102777777777776</v>
      </c>
      <c r="K90" s="134">
        <v>65.739999999999995</v>
      </c>
      <c r="L90" s="134">
        <f t="shared" si="5"/>
        <v>1.3695833333333332</v>
      </c>
      <c r="Y90" s="256" t="s">
        <v>200</v>
      </c>
      <c r="Z90" s="275">
        <v>0.25</v>
      </c>
      <c r="AA90" s="275">
        <v>0.5</v>
      </c>
    </row>
    <row r="91" spans="1:27">
      <c r="A91" s="138"/>
      <c r="Y91" s="256" t="s">
        <v>199</v>
      </c>
      <c r="Z91" s="275">
        <v>0.375</v>
      </c>
      <c r="AA91" s="275">
        <v>0.625</v>
      </c>
    </row>
    <row r="92" spans="1:27">
      <c r="A92" s="139"/>
      <c r="Y92" s="256" t="s">
        <v>88</v>
      </c>
      <c r="Z92" s="275">
        <v>0.25</v>
      </c>
      <c r="AA92" s="275">
        <v>0.375</v>
      </c>
    </row>
    <row r="93" spans="1:27">
      <c r="A93" s="138"/>
      <c r="Y93" s="256" t="s">
        <v>198</v>
      </c>
      <c r="Z93" s="275">
        <v>0.25</v>
      </c>
      <c r="AA93" s="275">
        <v>0.5</v>
      </c>
    </row>
    <row r="94" spans="1:27">
      <c r="A94" s="138"/>
      <c r="Y94" s="256" t="s">
        <v>197</v>
      </c>
      <c r="Z94" s="275">
        <v>0.25</v>
      </c>
      <c r="AA94" s="275">
        <v>0.5</v>
      </c>
    </row>
    <row r="95" spans="1:27">
      <c r="A95" s="139"/>
      <c r="Y95" s="256" t="s">
        <v>196</v>
      </c>
      <c r="Z95" s="275">
        <v>0.375</v>
      </c>
      <c r="AA95" s="275">
        <v>0.625</v>
      </c>
    </row>
    <row r="96" spans="1:27" ht="12.75" customHeight="1">
      <c r="A96" s="138"/>
      <c r="Y96" s="256" t="s">
        <v>410</v>
      </c>
      <c r="Z96" s="275">
        <v>0.375</v>
      </c>
      <c r="AA96" s="275">
        <v>0.625</v>
      </c>
    </row>
    <row r="97" spans="1:27">
      <c r="A97" s="138"/>
      <c r="Y97" s="256" t="s">
        <v>194</v>
      </c>
      <c r="Z97" s="275">
        <v>0.25</v>
      </c>
      <c r="AA97" s="275">
        <v>0.5</v>
      </c>
    </row>
    <row r="98" spans="1:27">
      <c r="A98" s="139"/>
      <c r="Y98" s="256" t="s">
        <v>192</v>
      </c>
      <c r="Z98" s="275">
        <v>0.25</v>
      </c>
      <c r="AA98" s="275">
        <v>0.5</v>
      </c>
    </row>
    <row r="99" spans="1:27" ht="12.75" customHeight="1">
      <c r="A99" s="138"/>
      <c r="Y99" s="256" t="s">
        <v>190</v>
      </c>
      <c r="Z99" s="275">
        <v>0.375</v>
      </c>
      <c r="AA99" s="275">
        <v>0.625</v>
      </c>
    </row>
    <row r="100" spans="1:27">
      <c r="A100" s="138"/>
    </row>
    <row r="101" spans="1:27">
      <c r="A101" s="139"/>
    </row>
    <row r="102" spans="1:27" ht="12.75" customHeight="1">
      <c r="A102" s="138"/>
    </row>
    <row r="103" spans="1:27">
      <c r="A103" s="138"/>
    </row>
    <row r="104" spans="1:27">
      <c r="A104" s="139"/>
    </row>
    <row r="105" spans="1:27" ht="12.75" customHeight="1">
      <c r="A105" s="138"/>
    </row>
    <row r="106" spans="1:27">
      <c r="A106" s="138"/>
    </row>
    <row r="107" spans="1:27">
      <c r="A107" s="139"/>
    </row>
    <row r="108" spans="1:27" ht="12.75" customHeight="1">
      <c r="A108" s="138"/>
    </row>
    <row r="109" spans="1:27">
      <c r="A109" s="138"/>
    </row>
    <row r="110" spans="1:27">
      <c r="A110" s="139"/>
    </row>
    <row r="111" spans="1:27" ht="12.75" customHeight="1">
      <c r="A111" s="138"/>
    </row>
    <row r="112" spans="1:27">
      <c r="A112" s="138"/>
    </row>
    <row r="113" spans="1:1">
      <c r="A113" s="139"/>
    </row>
    <row r="114" spans="1:1" ht="12.75" customHeight="1">
      <c r="A114" s="138"/>
    </row>
    <row r="115" spans="1:1">
      <c r="A115" s="138"/>
    </row>
    <row r="116" spans="1:1">
      <c r="A116" s="139"/>
    </row>
    <row r="117" spans="1:1" ht="12.75" customHeight="1">
      <c r="A117" s="138"/>
    </row>
    <row r="118" spans="1:1">
      <c r="A118" s="138"/>
    </row>
    <row r="119" spans="1:1">
      <c r="A119" s="139"/>
    </row>
    <row r="120" spans="1:1" ht="12.75" customHeight="1">
      <c r="A120" s="138"/>
    </row>
    <row r="121" spans="1:1">
      <c r="A121" s="138"/>
    </row>
    <row r="122" spans="1:1">
      <c r="A122" s="139"/>
    </row>
    <row r="123" spans="1:1" ht="12.75" customHeight="1">
      <c r="A123" s="138"/>
    </row>
    <row r="124" spans="1:1">
      <c r="A124" s="138"/>
    </row>
    <row r="125" spans="1:1">
      <c r="A125" s="139"/>
    </row>
    <row r="126" spans="1:1" ht="12.75" customHeight="1">
      <c r="A126" s="138"/>
    </row>
    <row r="127" spans="1:1">
      <c r="A127" s="138"/>
    </row>
    <row r="128" spans="1:1">
      <c r="A128" s="139"/>
    </row>
    <row r="129" spans="1:24" ht="12.75" customHeight="1">
      <c r="A129" s="138"/>
    </row>
    <row r="130" spans="1:24">
      <c r="A130" s="138"/>
    </row>
    <row r="131" spans="1:24">
      <c r="A131" s="139"/>
    </row>
    <row r="132" spans="1:24" ht="12.75" customHeight="1">
      <c r="A132" s="138"/>
    </row>
    <row r="133" spans="1:24">
      <c r="A133" s="138"/>
    </row>
    <row r="134" spans="1:24">
      <c r="A134" s="139"/>
    </row>
    <row r="135" spans="1:24" ht="12.75" customHeight="1">
      <c r="A135" s="138"/>
    </row>
    <row r="136" spans="1:24">
      <c r="A136" s="138"/>
    </row>
    <row r="137" spans="1:24">
      <c r="A137" s="139"/>
    </row>
    <row r="144" spans="1:24">
      <c r="X144" s="131"/>
    </row>
    <row r="145" spans="1:27" s="131" customFormat="1">
      <c r="A145" s="130"/>
      <c r="B145" s="130"/>
      <c r="Q145" s="130"/>
      <c r="R145" s="130"/>
      <c r="S145" s="130"/>
      <c r="T145" s="130"/>
      <c r="U145" s="130"/>
      <c r="V145" s="130"/>
      <c r="W145" s="130"/>
      <c r="Y145" s="130"/>
      <c r="Z145" s="130"/>
      <c r="AA145" s="130"/>
    </row>
    <row r="146" spans="1:27" s="131" customFormat="1">
      <c r="A146" s="130"/>
      <c r="B146" s="130"/>
      <c r="Q146" s="130"/>
      <c r="R146" s="130"/>
      <c r="S146" s="130"/>
      <c r="T146" s="130"/>
      <c r="U146" s="130"/>
      <c r="V146" s="130"/>
      <c r="W146" s="130"/>
      <c r="Y146" s="130"/>
      <c r="Z146" s="130"/>
      <c r="AA146" s="130"/>
    </row>
    <row r="147" spans="1:27" s="131" customFormat="1">
      <c r="A147" s="130"/>
      <c r="B147" s="130"/>
      <c r="Q147" s="130"/>
      <c r="R147" s="130"/>
      <c r="S147" s="130"/>
      <c r="T147" s="130"/>
      <c r="U147" s="130"/>
      <c r="V147" s="130"/>
      <c r="W147" s="130"/>
      <c r="Y147" s="130"/>
      <c r="Z147" s="130"/>
      <c r="AA147" s="130"/>
    </row>
    <row r="148" spans="1:27" s="131" customFormat="1">
      <c r="A148" s="130"/>
      <c r="B148" s="130"/>
      <c r="Q148" s="130"/>
      <c r="R148" s="130"/>
      <c r="S148" s="130"/>
      <c r="T148" s="130"/>
      <c r="U148" s="130"/>
      <c r="V148" s="130"/>
      <c r="W148" s="130"/>
      <c r="X148" s="130"/>
      <c r="Y148" s="130"/>
      <c r="Z148" s="130"/>
      <c r="AA148" s="130"/>
    </row>
    <row r="157" spans="1:27">
      <c r="W157" s="131"/>
      <c r="Z157" s="131"/>
      <c r="AA157" s="131"/>
    </row>
    <row r="158" spans="1:27">
      <c r="Q158" s="131"/>
      <c r="R158" s="131"/>
      <c r="S158" s="131"/>
      <c r="T158" s="131"/>
      <c r="V158" s="131"/>
      <c r="W158" s="131"/>
      <c r="Y158" s="131"/>
      <c r="Z158" s="131"/>
      <c r="AA158" s="131"/>
    </row>
    <row r="159" spans="1:27">
      <c r="Q159" s="131"/>
      <c r="R159" s="131"/>
      <c r="S159" s="131"/>
      <c r="T159" s="131"/>
      <c r="V159" s="131"/>
      <c r="W159" s="131"/>
      <c r="Y159" s="131"/>
      <c r="Z159" s="131"/>
      <c r="AA159" s="131"/>
    </row>
    <row r="160" spans="1:27">
      <c r="Q160" s="131"/>
      <c r="R160" s="131"/>
      <c r="S160" s="131"/>
      <c r="T160" s="131"/>
      <c r="U160" s="131"/>
      <c r="V160" s="131"/>
      <c r="W160" s="131"/>
      <c r="Y160" s="131"/>
      <c r="Z160" s="131"/>
      <c r="AA160" s="131"/>
    </row>
    <row r="161" spans="17:25">
      <c r="Q161" s="131"/>
      <c r="R161" s="131"/>
      <c r="S161" s="131"/>
      <c r="T161" s="131"/>
      <c r="U161" s="131"/>
      <c r="V161" s="131"/>
      <c r="Y161" s="131"/>
    </row>
    <row r="162" spans="17:25">
      <c r="U162" s="131"/>
    </row>
    <row r="163" spans="17:25">
      <c r="U163" s="131"/>
    </row>
  </sheetData>
  <mergeCells count="3">
    <mergeCell ref="Q4:R4"/>
    <mergeCell ref="T4:U4"/>
    <mergeCell ref="V4:W4"/>
  </mergeCells>
  <phoneticPr fontId="35" type="noConversion"/>
  <pageMargins left="0.25" right="0.25" top="0.25" bottom="0.25" header="0.3" footer="0.3"/>
  <pageSetup scale="21" orientation="portrait" horizontalDpi="4294967293" verticalDpi="0" r:id="rId1"/>
  <colBreaks count="1" manualBreakCount="1">
    <brk id="17" max="8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workbookViewId="0"/>
  </sheetViews>
  <sheetFormatPr defaultRowHeight="14.4"/>
  <cols>
    <col min="3" max="3" width="20.6640625" bestFit="1" customWidth="1"/>
    <col min="4" max="4" width="17.5546875" bestFit="1" customWidth="1"/>
  </cols>
  <sheetData>
    <row r="1" spans="1:4">
      <c r="A1" s="1"/>
    </row>
    <row r="2" spans="1:4">
      <c r="C2" s="40" t="s">
        <v>413</v>
      </c>
      <c r="D2" s="40" t="s">
        <v>92</v>
      </c>
    </row>
    <row r="3" spans="1:4">
      <c r="C3" s="21">
        <v>-13</v>
      </c>
      <c r="D3" s="21">
        <v>0.95</v>
      </c>
    </row>
    <row r="4" spans="1:4">
      <c r="C4" s="21">
        <v>-12</v>
      </c>
      <c r="D4" s="21">
        <v>0.95</v>
      </c>
    </row>
    <row r="5" spans="1:4">
      <c r="C5" s="21">
        <v>-11</v>
      </c>
      <c r="D5" s="21">
        <v>0.95</v>
      </c>
    </row>
    <row r="6" spans="1:4">
      <c r="C6" s="21">
        <v>-10</v>
      </c>
      <c r="D6" s="21">
        <v>0.95</v>
      </c>
    </row>
    <row r="7" spans="1:4">
      <c r="C7" s="21">
        <v>-9</v>
      </c>
      <c r="D7" s="21">
        <v>0.95</v>
      </c>
    </row>
    <row r="8" spans="1:4">
      <c r="C8" s="21">
        <v>-8</v>
      </c>
      <c r="D8" s="21">
        <v>0.95</v>
      </c>
    </row>
    <row r="9" spans="1:4">
      <c r="C9" s="21">
        <v>-7</v>
      </c>
      <c r="D9" s="21">
        <v>0.95</v>
      </c>
    </row>
    <row r="10" spans="1:4">
      <c r="C10" s="21">
        <v>-6</v>
      </c>
      <c r="D10" s="21">
        <v>0.95</v>
      </c>
    </row>
    <row r="11" spans="1:4">
      <c r="C11" s="21">
        <v>-5</v>
      </c>
      <c r="D11" s="21">
        <v>0.95</v>
      </c>
    </row>
    <row r="12" spans="1:4">
      <c r="C12" s="21">
        <v>-4</v>
      </c>
      <c r="D12" s="21">
        <v>0.95</v>
      </c>
    </row>
    <row r="13" spans="1:4">
      <c r="C13" s="21">
        <v>-3</v>
      </c>
      <c r="D13" s="21">
        <v>0.95</v>
      </c>
    </row>
    <row r="14" spans="1:4">
      <c r="C14" s="21">
        <v>-2</v>
      </c>
      <c r="D14" s="21">
        <v>0.95</v>
      </c>
    </row>
    <row r="15" spans="1:4">
      <c r="C15" s="21">
        <v>-1</v>
      </c>
      <c r="D15" s="21">
        <v>0.95</v>
      </c>
    </row>
    <row r="16" spans="1:4">
      <c r="C16" s="21">
        <v>0</v>
      </c>
      <c r="D16" s="21">
        <v>0.95</v>
      </c>
    </row>
    <row r="17" spans="3:4">
      <c r="C17" s="21">
        <v>1</v>
      </c>
      <c r="D17" s="21">
        <v>0.95</v>
      </c>
    </row>
    <row r="18" spans="3:4">
      <c r="C18" s="21">
        <v>2</v>
      </c>
      <c r="D18" s="21">
        <v>0.95</v>
      </c>
    </row>
    <row r="19" spans="3:4">
      <c r="C19" s="21">
        <v>3</v>
      </c>
      <c r="D19" s="21">
        <v>0.95</v>
      </c>
    </row>
    <row r="20" spans="3:4">
      <c r="C20" s="21">
        <v>4</v>
      </c>
      <c r="D20" s="21">
        <v>0.95</v>
      </c>
    </row>
    <row r="21" spans="3:4">
      <c r="C21" s="21">
        <v>5</v>
      </c>
      <c r="D21" s="21">
        <v>0.95</v>
      </c>
    </row>
    <row r="22" spans="3:4">
      <c r="C22" s="21">
        <v>6</v>
      </c>
      <c r="D22" s="21">
        <v>0.95</v>
      </c>
    </row>
    <row r="23" spans="3:4">
      <c r="C23" s="21">
        <v>7</v>
      </c>
      <c r="D23" s="21">
        <v>0.95</v>
      </c>
    </row>
    <row r="24" spans="3:4">
      <c r="C24" s="21">
        <v>8</v>
      </c>
      <c r="D24" s="21">
        <v>0.95</v>
      </c>
    </row>
    <row r="25" spans="3:4">
      <c r="C25" s="21">
        <v>9</v>
      </c>
      <c r="D25" s="21">
        <v>0.95</v>
      </c>
    </row>
    <row r="26" spans="3:4">
      <c r="C26" s="21">
        <v>10</v>
      </c>
      <c r="D26" s="21">
        <v>0.95</v>
      </c>
    </row>
    <row r="27" spans="3:4">
      <c r="C27" s="21">
        <v>11</v>
      </c>
      <c r="D27" s="21">
        <v>0.95</v>
      </c>
    </row>
    <row r="28" spans="3:4">
      <c r="C28" s="21">
        <v>12</v>
      </c>
      <c r="D28" s="21">
        <v>0.95</v>
      </c>
    </row>
    <row r="29" spans="3:4">
      <c r="C29" s="21">
        <v>13</v>
      </c>
      <c r="D29" s="21">
        <v>0.95</v>
      </c>
    </row>
    <row r="30" spans="3:4">
      <c r="C30" s="21">
        <v>14</v>
      </c>
      <c r="D30" s="21">
        <v>0.95</v>
      </c>
    </row>
    <row r="31" spans="3:4">
      <c r="C31" s="21">
        <v>15</v>
      </c>
      <c r="D31" s="21">
        <v>0.95</v>
      </c>
    </row>
    <row r="32" spans="3:4">
      <c r="C32" s="21">
        <v>16</v>
      </c>
      <c r="D32" s="21">
        <v>0.95</v>
      </c>
    </row>
    <row r="33" spans="3:4">
      <c r="C33" s="21">
        <v>17</v>
      </c>
      <c r="D33" s="21">
        <v>0.95</v>
      </c>
    </row>
    <row r="34" spans="3:4">
      <c r="C34" s="21">
        <v>18</v>
      </c>
      <c r="D34" s="21">
        <v>0.95</v>
      </c>
    </row>
    <row r="35" spans="3:4">
      <c r="C35" s="21">
        <v>19</v>
      </c>
      <c r="D35" s="21">
        <v>0.95</v>
      </c>
    </row>
    <row r="36" spans="3:4">
      <c r="C36" s="21">
        <v>20</v>
      </c>
      <c r="D36" s="389">
        <v>0.95</v>
      </c>
    </row>
    <row r="37" spans="3:4">
      <c r="C37" s="21">
        <v>21</v>
      </c>
      <c r="D37" s="389">
        <v>0.95</v>
      </c>
    </row>
    <row r="38" spans="3:4">
      <c r="C38" s="21">
        <v>22</v>
      </c>
      <c r="D38" s="389">
        <f>D37-($L$36-$L$40)/4</f>
        <v>0.95</v>
      </c>
    </row>
    <row r="39" spans="3:4">
      <c r="C39" s="21">
        <v>23</v>
      </c>
      <c r="D39" s="389">
        <f>D38-($L$36-$L$40)/4</f>
        <v>0.95</v>
      </c>
    </row>
    <row r="40" spans="3:4">
      <c r="C40" s="21">
        <v>24</v>
      </c>
      <c r="D40" s="389">
        <f>D39-($L$36-$L$40)/4</f>
        <v>0.95</v>
      </c>
    </row>
    <row r="41" spans="3:4">
      <c r="C41" s="21">
        <v>25</v>
      </c>
      <c r="D41" s="389">
        <v>0.9</v>
      </c>
    </row>
    <row r="42" spans="3:4">
      <c r="C42" s="21">
        <v>26</v>
      </c>
      <c r="D42" s="389">
        <f>D41-($L$40-$L$43)/3</f>
        <v>0.9</v>
      </c>
    </row>
    <row r="43" spans="3:4">
      <c r="C43" s="21">
        <v>27</v>
      </c>
      <c r="D43" s="389">
        <f>D42-($L$40-$L$43)/3</f>
        <v>0.9</v>
      </c>
    </row>
    <row r="44" spans="3:4">
      <c r="C44" s="21">
        <v>28</v>
      </c>
      <c r="D44" s="389">
        <v>0.89</v>
      </c>
    </row>
    <row r="45" spans="3:4">
      <c r="C45" s="21">
        <v>29</v>
      </c>
      <c r="D45" s="389">
        <f>D44-($L$43-$L$47)/4</f>
        <v>0.89</v>
      </c>
    </row>
    <row r="46" spans="3:4">
      <c r="C46" s="21">
        <v>30</v>
      </c>
      <c r="D46" s="389">
        <f>D45-($L$43-$L$47)/4</f>
        <v>0.89</v>
      </c>
    </row>
    <row r="47" spans="3:4">
      <c r="C47" s="21">
        <v>31</v>
      </c>
      <c r="D47" s="389">
        <f>D46-($L$43-$L$47)/4</f>
        <v>0.89</v>
      </c>
    </row>
    <row r="48" spans="3:4">
      <c r="C48" s="21">
        <v>32</v>
      </c>
      <c r="D48" s="389">
        <v>0.88</v>
      </c>
    </row>
    <row r="49" spans="3:4">
      <c r="C49" s="21">
        <v>33</v>
      </c>
      <c r="D49" s="389">
        <f>D48-($L$47-$L$51)/4</f>
        <v>0.88</v>
      </c>
    </row>
    <row r="50" spans="3:4">
      <c r="C50" s="21">
        <v>34</v>
      </c>
      <c r="D50" s="389">
        <f>D49-($L$47-$L$51)/4</f>
        <v>0.88</v>
      </c>
    </row>
    <row r="51" spans="3:4">
      <c r="C51" s="21">
        <v>35</v>
      </c>
      <c r="D51" s="389">
        <f>D50-($L$47-$L$51)/4</f>
        <v>0.88</v>
      </c>
    </row>
    <row r="52" spans="3:4">
      <c r="C52" s="21">
        <v>36</v>
      </c>
      <c r="D52" s="389">
        <v>0.89</v>
      </c>
    </row>
    <row r="53" spans="3:4">
      <c r="C53" s="21">
        <v>37</v>
      </c>
      <c r="D53" s="389">
        <f>D52-($L$51-$L$54)/3</f>
        <v>0.89</v>
      </c>
    </row>
    <row r="54" spans="3:4">
      <c r="C54" s="21">
        <v>38</v>
      </c>
      <c r="D54" s="389">
        <f>D53-($L$51-$L$54)/3</f>
        <v>0.89</v>
      </c>
    </row>
    <row r="55" spans="3:4">
      <c r="C55" s="21">
        <v>39</v>
      </c>
      <c r="D55" s="389">
        <v>0.98</v>
      </c>
    </row>
    <row r="56" spans="3:4">
      <c r="C56" s="21">
        <v>40</v>
      </c>
      <c r="D56" s="389">
        <f>D55-($L$54-$L$58)/4</f>
        <v>0.98</v>
      </c>
    </row>
    <row r="57" spans="3:4">
      <c r="C57" s="21">
        <v>41</v>
      </c>
      <c r="D57" s="389">
        <f>D56-($L$54-$L$58)/4</f>
        <v>0.98</v>
      </c>
    </row>
    <row r="58" spans="3:4">
      <c r="C58" s="21">
        <v>42</v>
      </c>
      <c r="D58" s="389">
        <f>D57-($L$54-$L$58)/4</f>
        <v>0.98</v>
      </c>
    </row>
    <row r="59" spans="3:4">
      <c r="C59" s="21">
        <v>43</v>
      </c>
      <c r="D59" s="389">
        <v>1</v>
      </c>
    </row>
  </sheetData>
  <pageMargins left="0.7" right="0.7" top="0.75" bottom="0.75" header="0.3" footer="0.3"/>
  <pageSetup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88"/>
  <sheetViews>
    <sheetView zoomScale="60" zoomScaleNormal="60" workbookViewId="0"/>
  </sheetViews>
  <sheetFormatPr defaultColWidth="10" defaultRowHeight="13.8" outlineLevelCol="1"/>
  <cols>
    <col min="1" max="1" width="5.5546875" style="153" customWidth="1"/>
    <col min="2" max="2" width="27.88671875" style="153" customWidth="1"/>
    <col min="3" max="3" width="7.44140625" style="153" bestFit="1" customWidth="1"/>
    <col min="4" max="4" width="7.44140625" style="153" customWidth="1"/>
    <col min="5" max="5" width="6.109375" style="153" bestFit="1" customWidth="1"/>
    <col min="6" max="6" width="7" style="152" bestFit="1" customWidth="1"/>
    <col min="7" max="8" width="8.33203125" style="152" bestFit="1" customWidth="1"/>
    <col min="9" max="10" width="7.88671875" style="152" bestFit="1" customWidth="1"/>
    <col min="11" max="17" width="7.44140625" style="152" bestFit="1" customWidth="1"/>
    <col min="18" max="19" width="7.44140625" style="153" customWidth="1"/>
    <col min="20" max="20" width="9.109375" style="153" bestFit="1" customWidth="1"/>
    <col min="21" max="21" width="9.109375" style="154" customWidth="1"/>
    <col min="22" max="22" width="42.109375" style="153" bestFit="1" customWidth="1"/>
    <col min="23" max="25" width="9.109375" style="153" customWidth="1"/>
    <col min="26" max="26" width="12.44140625" style="153" bestFit="1" customWidth="1"/>
    <col min="27" max="27" width="13.109375" style="153" bestFit="1" customWidth="1"/>
    <col min="28" max="28" width="14.44140625" style="153" customWidth="1"/>
    <col min="29" max="29" width="16" style="153" bestFit="1" customWidth="1"/>
    <col min="30" max="36" width="10" style="153"/>
    <col min="37" max="37" width="10" style="154"/>
    <col min="38" max="42" width="10" style="153"/>
    <col min="43" max="43" width="10" style="154" hidden="1" customWidth="1" outlineLevel="1"/>
    <col min="44" max="48" width="10" style="153" hidden="1" customWidth="1" outlineLevel="1"/>
    <col min="49" max="49" width="10" style="154" hidden="1" customWidth="1" outlineLevel="1"/>
    <col min="50" max="54" width="10" style="153" hidden="1" customWidth="1" outlineLevel="1"/>
    <col min="55" max="55" width="10" style="154" hidden="1" customWidth="1" outlineLevel="1"/>
    <col min="56" max="60" width="10" style="153" hidden="1" customWidth="1" outlineLevel="1"/>
    <col min="61" max="61" width="10" style="154" collapsed="1"/>
    <col min="62" max="66" width="10" style="153"/>
    <col min="67" max="67" width="10" style="154" hidden="1" customWidth="1" outlineLevel="1"/>
    <col min="68" max="77" width="10" style="153" hidden="1" customWidth="1" outlineLevel="1"/>
    <col min="78" max="78" width="10" style="154" hidden="1" customWidth="1" outlineLevel="1"/>
    <col min="79" max="83" width="10" style="153" hidden="1" customWidth="1" outlineLevel="1"/>
    <col min="84" max="84" width="10" style="154" collapsed="1"/>
    <col min="85" max="16384" width="10" style="153"/>
  </cols>
  <sheetData>
    <row r="1" spans="1:89">
      <c r="A1" s="154" t="s">
        <v>283</v>
      </c>
      <c r="AD1" s="497" t="s">
        <v>74</v>
      </c>
      <c r="AE1" s="497"/>
      <c r="AF1" s="497"/>
      <c r="AG1" s="497"/>
      <c r="AH1" s="497"/>
      <c r="AI1" s="497"/>
      <c r="AJ1" s="155"/>
      <c r="AK1" s="497" t="s">
        <v>100</v>
      </c>
      <c r="AL1" s="497"/>
      <c r="AM1" s="497"/>
      <c r="AN1" s="497"/>
      <c r="AO1" s="497"/>
      <c r="AP1" s="497"/>
      <c r="AQ1" s="497" t="s">
        <v>103</v>
      </c>
      <c r="AR1" s="497"/>
      <c r="AS1" s="497"/>
      <c r="AT1" s="497"/>
      <c r="AU1" s="497"/>
      <c r="AV1" s="497"/>
      <c r="AW1" s="497" t="s">
        <v>105</v>
      </c>
      <c r="AX1" s="497"/>
      <c r="AY1" s="497"/>
      <c r="AZ1" s="497"/>
      <c r="BA1" s="497"/>
      <c r="BB1" s="497"/>
      <c r="BC1" s="493" t="s">
        <v>102</v>
      </c>
      <c r="BD1" s="494"/>
      <c r="BE1" s="494"/>
      <c r="BF1" s="494"/>
      <c r="BG1" s="494"/>
      <c r="BH1" s="495"/>
      <c r="BI1" s="497" t="s">
        <v>101</v>
      </c>
      <c r="BJ1" s="497"/>
      <c r="BK1" s="497"/>
      <c r="BL1" s="497"/>
      <c r="BM1" s="497"/>
      <c r="BN1" s="497"/>
      <c r="BO1" s="497" t="s">
        <v>106</v>
      </c>
      <c r="BP1" s="497"/>
      <c r="BQ1" s="497"/>
      <c r="BR1" s="497"/>
      <c r="BS1" s="497"/>
      <c r="BT1" s="497"/>
      <c r="BU1" s="497" t="s">
        <v>107</v>
      </c>
      <c r="BV1" s="497"/>
      <c r="BW1" s="497"/>
      <c r="BX1" s="497"/>
      <c r="BY1" s="497"/>
      <c r="BZ1" s="493" t="s">
        <v>108</v>
      </c>
      <c r="CA1" s="494"/>
      <c r="CB1" s="494"/>
      <c r="CC1" s="494"/>
      <c r="CD1" s="494"/>
      <c r="CE1" s="495"/>
      <c r="CF1" s="497" t="s">
        <v>110</v>
      </c>
      <c r="CG1" s="497"/>
      <c r="CH1" s="497"/>
      <c r="CI1" s="497"/>
      <c r="CJ1" s="497"/>
      <c r="CK1" s="497"/>
    </row>
    <row r="2" spans="1:89">
      <c r="Z2" s="504" t="s">
        <v>55</v>
      </c>
      <c r="AA2" s="504"/>
      <c r="AC2" s="156" t="s">
        <v>56</v>
      </c>
      <c r="AD2" s="156"/>
      <c r="AE2" s="157" t="s">
        <v>56</v>
      </c>
      <c r="AF2" s="157"/>
      <c r="AG2" s="157"/>
      <c r="AH2" s="156"/>
      <c r="AI2" s="156"/>
      <c r="AJ2" s="158" t="s">
        <v>57</v>
      </c>
      <c r="AK2" s="158" t="s">
        <v>66</v>
      </c>
      <c r="AL2" s="498" t="s">
        <v>58</v>
      </c>
      <c r="AM2" s="498"/>
      <c r="AN2" s="498"/>
      <c r="AO2" s="498"/>
      <c r="AP2" s="498"/>
      <c r="AQ2" s="158" t="s">
        <v>66</v>
      </c>
      <c r="AR2" s="499" t="s">
        <v>58</v>
      </c>
      <c r="AS2" s="499">
        <v>0</v>
      </c>
      <c r="AT2" s="499">
        <v>0</v>
      </c>
      <c r="AU2" s="499">
        <v>0</v>
      </c>
      <c r="AV2" s="499">
        <v>0</v>
      </c>
      <c r="AW2" s="158" t="s">
        <v>66</v>
      </c>
      <c r="AX2" s="499" t="s">
        <v>58</v>
      </c>
      <c r="AY2" s="499">
        <v>0</v>
      </c>
      <c r="AZ2" s="499">
        <v>0</v>
      </c>
      <c r="BA2" s="499">
        <v>0</v>
      </c>
      <c r="BB2" s="499">
        <v>0</v>
      </c>
      <c r="BC2" s="159" t="s">
        <v>66</v>
      </c>
      <c r="BD2" s="496" t="s">
        <v>58</v>
      </c>
      <c r="BE2" s="496"/>
      <c r="BF2" s="496"/>
      <c r="BG2" s="496"/>
      <c r="BH2" s="496"/>
      <c r="BI2" s="158" t="s">
        <v>66</v>
      </c>
      <c r="BJ2" s="498" t="s">
        <v>58</v>
      </c>
      <c r="BK2" s="498"/>
      <c r="BL2" s="498"/>
      <c r="BM2" s="498"/>
      <c r="BN2" s="498"/>
      <c r="BO2" s="158" t="s">
        <v>66</v>
      </c>
      <c r="BP2" s="499" t="s">
        <v>58</v>
      </c>
      <c r="BQ2" s="499">
        <v>0</v>
      </c>
      <c r="BR2" s="499">
        <v>0</v>
      </c>
      <c r="BS2" s="499">
        <v>0</v>
      </c>
      <c r="BT2" s="499">
        <v>0</v>
      </c>
      <c r="BU2" s="499" t="s">
        <v>59</v>
      </c>
      <c r="BV2" s="499"/>
      <c r="BW2" s="499"/>
      <c r="BX2" s="499"/>
      <c r="BY2" s="499"/>
      <c r="BZ2" s="159" t="s">
        <v>66</v>
      </c>
      <c r="CA2" s="496" t="s">
        <v>58</v>
      </c>
      <c r="CB2" s="496"/>
      <c r="CC2" s="496"/>
      <c r="CD2" s="496"/>
      <c r="CE2" s="496"/>
      <c r="CF2" s="158" t="s">
        <v>66</v>
      </c>
      <c r="CG2" s="498" t="s">
        <v>58</v>
      </c>
      <c r="CH2" s="498"/>
      <c r="CI2" s="498"/>
      <c r="CJ2" s="498"/>
      <c r="CK2" s="498"/>
    </row>
    <row r="3" spans="1:89" ht="27.6">
      <c r="V3" s="123" t="s">
        <v>31</v>
      </c>
      <c r="W3" s="122"/>
      <c r="X3" s="122"/>
      <c r="Z3" s="295" t="s">
        <v>54</v>
      </c>
      <c r="AA3" s="295" t="s">
        <v>257</v>
      </c>
      <c r="AB3" s="257"/>
      <c r="AC3" s="160" t="s">
        <v>45</v>
      </c>
      <c r="AD3" s="160">
        <v>18</v>
      </c>
      <c r="AE3" s="160"/>
      <c r="AF3" s="160"/>
      <c r="AG3" s="161"/>
      <c r="AH3" s="160"/>
      <c r="AI3" s="160"/>
      <c r="AJ3" s="160"/>
      <c r="AK3" s="156"/>
      <c r="AL3" s="162" t="s">
        <v>60</v>
      </c>
      <c r="AM3" s="162" t="s">
        <v>61</v>
      </c>
      <c r="AN3" s="162" t="s">
        <v>62</v>
      </c>
      <c r="AO3" s="162" t="s">
        <v>63</v>
      </c>
      <c r="AP3" s="162" t="s">
        <v>64</v>
      </c>
      <c r="AQ3" s="160"/>
      <c r="AR3" s="160" t="s">
        <v>60</v>
      </c>
      <c r="AS3" s="160" t="s">
        <v>61</v>
      </c>
      <c r="AT3" s="160" t="s">
        <v>62</v>
      </c>
      <c r="AU3" s="160" t="s">
        <v>63</v>
      </c>
      <c r="AV3" s="160" t="s">
        <v>64</v>
      </c>
      <c r="AW3" s="160"/>
      <c r="AX3" s="160" t="s">
        <v>60</v>
      </c>
      <c r="AY3" s="160" t="s">
        <v>61</v>
      </c>
      <c r="AZ3" s="160" t="s">
        <v>62</v>
      </c>
      <c r="BA3" s="160" t="s">
        <v>63</v>
      </c>
      <c r="BB3" s="160" t="s">
        <v>64</v>
      </c>
      <c r="BC3" s="163"/>
      <c r="BD3" s="163" t="s">
        <v>60</v>
      </c>
      <c r="BE3" s="163" t="s">
        <v>61</v>
      </c>
      <c r="BF3" s="163" t="s">
        <v>62</v>
      </c>
      <c r="BG3" s="163" t="s">
        <v>63</v>
      </c>
      <c r="BH3" s="163" t="s">
        <v>64</v>
      </c>
      <c r="BI3" s="156"/>
      <c r="BJ3" s="162" t="s">
        <v>60</v>
      </c>
      <c r="BK3" s="162" t="s">
        <v>61</v>
      </c>
      <c r="BL3" s="162" t="s">
        <v>62</v>
      </c>
      <c r="BM3" s="162" t="s">
        <v>63</v>
      </c>
      <c r="BN3" s="162" t="s">
        <v>64</v>
      </c>
      <c r="BO3" s="160"/>
      <c r="BP3" s="160" t="s">
        <v>60</v>
      </c>
      <c r="BQ3" s="160" t="s">
        <v>61</v>
      </c>
      <c r="BR3" s="160" t="s">
        <v>62</v>
      </c>
      <c r="BS3" s="160" t="s">
        <v>63</v>
      </c>
      <c r="BT3" s="160" t="s">
        <v>64</v>
      </c>
      <c r="BU3" s="160" t="s">
        <v>60</v>
      </c>
      <c r="BV3" s="160" t="s">
        <v>61</v>
      </c>
      <c r="BW3" s="160" t="s">
        <v>62</v>
      </c>
      <c r="BX3" s="160" t="s">
        <v>63</v>
      </c>
      <c r="BY3" s="160" t="s">
        <v>64</v>
      </c>
      <c r="BZ3" s="163"/>
      <c r="CA3" s="163" t="s">
        <v>60</v>
      </c>
      <c r="CB3" s="163" t="s">
        <v>61</v>
      </c>
      <c r="CC3" s="163" t="s">
        <v>62</v>
      </c>
      <c r="CD3" s="163" t="s">
        <v>63</v>
      </c>
      <c r="CE3" s="163" t="s">
        <v>64</v>
      </c>
      <c r="CF3" s="156"/>
      <c r="CG3" s="162" t="s">
        <v>60</v>
      </c>
      <c r="CH3" s="162" t="s">
        <v>61</v>
      </c>
      <c r="CI3" s="162" t="s">
        <v>62</v>
      </c>
      <c r="CJ3" s="162" t="s">
        <v>63</v>
      </c>
      <c r="CK3" s="162" t="s">
        <v>64</v>
      </c>
    </row>
    <row r="4" spans="1:89">
      <c r="V4" s="124" t="s">
        <v>28</v>
      </c>
      <c r="W4" s="122">
        <f>INDOOR_DB</f>
        <v>80</v>
      </c>
      <c r="X4" s="122"/>
      <c r="Z4" s="295">
        <v>9</v>
      </c>
      <c r="AA4" s="296">
        <v>1</v>
      </c>
      <c r="AB4" s="258"/>
      <c r="AC4" s="164" t="s">
        <v>245</v>
      </c>
      <c r="AD4" s="164">
        <v>18</v>
      </c>
      <c r="AE4" s="165">
        <v>9</v>
      </c>
      <c r="AF4" s="165">
        <v>9</v>
      </c>
      <c r="AG4" s="165"/>
      <c r="AH4" s="164"/>
      <c r="AI4" s="164"/>
      <c r="AJ4" s="522">
        <v>2</v>
      </c>
      <c r="AK4" s="166">
        <f ca="1">SUM(AL4:AP4)</f>
        <v>20.926222222222222</v>
      </c>
      <c r="AL4" s="167">
        <f ca="1">IF((INDEX($AA$4:$AA$7,MATCH(INDOOR_1,$Z$4:$Z$7))*(INDEX($X$27:$X$46,MATCH($AD4,$W$27:$W$46,1))/(INDEX($AA$4:$AA$7,MATCH(INDOOR_1,$Z$4:$Z$7))+INDEX($AA$4:$AA$7,MATCH(INDOOR_2,$Z$4:$Z$7)))))
&gt;AR4,AR4,
(INDEX($AA$4:$AA$7,MATCH(INDOOR_1,$Z$4:$Z$7))*(INDEX($X$27:$X$46,MATCH($AD4,$W$27:$W$46,1))/(INDEX($AA$4:$AA$7,MATCH(INDOOR_1,$Z$4:$Z$7))+INDEX($AA$4:$AA$7,MATCH(INDOOR_2,$Z$4:$Z$7))))))</f>
        <v>10.463111111111111</v>
      </c>
      <c r="AM4" s="167">
        <f ca="1">IF((INDEX($AA$4:$AA$7,MATCH(INDOOR_2,$Z$4:$Z$7))*(INDEX($X$27:$X$46,MATCH($AD4,$W$27:$W$46,1))/(INDEX($AA$4:$AA$7,MATCH(INDOOR_1,$Z$4:$Z$7))+INDEX($AA$4:$AA$7,MATCH(INDOOR_2,$Z$4:$Z$7)))))
&gt;AS4,AS4,
(INDEX($AA$4:$AA$7,MATCH(INDOOR_2,$Z$4:$Z$7))*(INDEX($X$27:$X$46,MATCH($AD4,$W$27:$W$46,1))/(INDEX($AA$4:$AA$7,MATCH(INDOOR_1,$Z$4:$Z$7))+INDEX($AA$4:$AA$7,MATCH(INDOOR_2,$Z$4:$Z$7))))))</f>
        <v>10.463111111111111</v>
      </c>
      <c r="AN4" s="168"/>
      <c r="AO4" s="168"/>
      <c r="AP4" s="168"/>
      <c r="AQ4" s="169">
        <f ca="1">SUM(AR4:AV4)</f>
        <v>20.926222222222222</v>
      </c>
      <c r="AR4" s="170">
        <f ca="1">INDEX('Cap based on indoor unit SZ'!$J$6:$J$21,MATCH(AE4,'Cap based on indoor unit SZ'!$I$6:$I$21))</f>
        <v>10.463111111111111</v>
      </c>
      <c r="AS4" s="170">
        <f ca="1">INDEX('Cap based on indoor unit SZ'!$J$6:$J$21,MATCH(AF4,'Cap based on indoor unit SZ'!$I$6:$I$21))</f>
        <v>10.463111111111111</v>
      </c>
      <c r="AT4" s="171"/>
      <c r="AU4" s="171"/>
      <c r="AV4" s="171"/>
      <c r="AW4" s="169">
        <f>SUM(AX4:BB4)</f>
        <v>18</v>
      </c>
      <c r="AX4" s="170">
        <v>9</v>
      </c>
      <c r="AY4" s="170">
        <v>9</v>
      </c>
      <c r="AZ4" s="171"/>
      <c r="BA4" s="171"/>
      <c r="BB4" s="171"/>
      <c r="BC4" s="172">
        <f ca="1">SUM(BD4:BH4)</f>
        <v>21.296666666666674</v>
      </c>
      <c r="BD4" s="173">
        <f ca="1">(INDEX($AA$4:$AA$7,MATCH(INDOOR_1,$Z$4:$Z$7))*(INDEX($X$27:$X$46,MATCH($AD4,$W$27:$W$46,1))/(INDEX($AA$4:$AA$7,MATCH(INDOOR_1,$Z$4:$Z$7))+INDEX($AA$4:$AA$7,MATCH(INDOOR_2,$Z$4:$Z$7)))))</f>
        <v>10.648333333333337</v>
      </c>
      <c r="BE4" s="173">
        <f ca="1">(INDEX($AA$4:$AA$7,MATCH(INDOOR_2,$Z$4:$Z$7))*(INDEX($X$27:$X$46,MATCH($AD4,$W$27:$W$46,1))/(INDEX($AA$4:$AA$7,MATCH(INDOOR_1,$Z$4:$Z$7))+INDEX($AA$4:$AA$7,MATCH(INDOOR_2,$Z$4:$Z$7)))))</f>
        <v>10.648333333333337</v>
      </c>
      <c r="BF4" s="174"/>
      <c r="BG4" s="174"/>
      <c r="BH4" s="174"/>
      <c r="BI4" s="166">
        <f ca="1">SUM(BJ4:BN4)</f>
        <v>23.912041025641024</v>
      </c>
      <c r="BJ4" s="167">
        <f ca="1">IF((INDEX($AA$4:$AA$7,MATCH(INDOOR_1,$Z$4:$Z$7))*(INDEX($X$118:$X$137,MATCH($AD4,$W$118:$W$137,1))/(INDEX($AA$4:$AA$7,MATCH(INDOOR_1,$Z$4:$Z$7))+INDEX($AA$4:$AA$7,MATCH(INDOOR_2,$Z$4:$Z$7)))))
&gt;BP4,BP4,
(INDEX($AA$4:$AA$7,MATCH(INDOOR_1,$Z$4:$Z$7))*(INDEX($X$118:$X$137,MATCH($AD4,$W$118:$W$137,1))/(INDEX($AA$4:$AA$7,MATCH(INDOOR_1,$Z$4:$Z$7))+INDEX($AA$4:$AA$7,MATCH(INDOOR_2,$Z$4:$Z$7))))))</f>
        <v>11.956020512820512</v>
      </c>
      <c r="BK4" s="167">
        <f ca="1">IF((INDEX($AA$4:$AA$7,MATCH(INDOOR_2,$Z$4:$Z$7))*(INDEX($X$118:$X$137,MATCH($AD4,$W$118:$W$137,1))/(INDEX($AA$4:$AA$7,MATCH(INDOOR_1,$Z$4:$Z$7))+INDEX($AA$4:$AA$7,MATCH(INDOOR_2,$Z$4:$Z$7)))))
&gt;BQ4,BQ4,
(INDEX($AA$4:$AA$7,MATCH(INDOOR_2,$Z$4:$Z$7))*(INDEX($X$118:$X$137,MATCH($AD4,$W$118:$W$137,1))/(INDEX($AA$4:$AA$7,MATCH(INDOOR_1,$Z$4:$Z$7))+INDEX($AA$4:$AA$7,MATCH(INDOOR_2,$Z$4:$Z$7))))))</f>
        <v>11.956020512820512</v>
      </c>
      <c r="BL4" s="168"/>
      <c r="BM4" s="168"/>
      <c r="BN4" s="168"/>
      <c r="BO4" s="169">
        <f ca="1">SUM(BP4:BT4)</f>
        <v>23.912041025641024</v>
      </c>
      <c r="BP4" s="170">
        <f ca="1">INDEX('Cap based on indoor unit SZ'!$V$43:$V$58,MATCH(AE4,'Cap based on indoor unit SZ'!$U$43:$U$58))</f>
        <v>11.956020512820512</v>
      </c>
      <c r="BQ4" s="170">
        <f ca="1">INDEX('Cap based on indoor unit SZ'!$V$43:$V$58,MATCH(AF4,'Cap based on indoor unit SZ'!$U$43:$U$58))</f>
        <v>11.956020512820512</v>
      </c>
      <c r="BR4" s="171"/>
      <c r="BS4" s="171"/>
      <c r="BT4" s="171"/>
      <c r="BU4" s="175">
        <v>9500</v>
      </c>
      <c r="BV4" s="175">
        <v>9500</v>
      </c>
      <c r="BW4" s="171"/>
      <c r="BX4" s="171"/>
      <c r="BY4" s="171"/>
      <c r="BZ4" s="172">
        <f ca="1">SUM(CA4:CE4)</f>
        <v>23.941299145299148</v>
      </c>
      <c r="CA4" s="173">
        <f ca="1">(INDEX($AA$4:$AA$7,MATCH(INDOOR_1,$Z$4:$Z$7))*(INDEX($X$118:$X$137,MATCH($AD4,$W$118:$W$137,1))/(INDEX($AA$4:$AA$7,MATCH(INDOOR_1,$Z$4:$Z$7))+INDEX($AA$4:$AA$7,MATCH(INDOOR_2,$Z$4:$Z$7)))))</f>
        <v>11.970649572649574</v>
      </c>
      <c r="CB4" s="173">
        <f ca="1">(INDEX($AA$4:$AA$7,MATCH(INDOOR_2,$Z$4:$Z$7))*(INDEX($X$118:$X$137,MATCH($AD4,$W$118:$W$137,1))/(INDEX($AA$4:$AA$7,MATCH(INDOOR_1,$Z$4:$Z$7))+INDEX($AA$4:$AA$7,MATCH(INDOOR_2,$Z$4:$Z$7)))))</f>
        <v>11.970649572649574</v>
      </c>
      <c r="CC4" s="174"/>
      <c r="CD4" s="174"/>
      <c r="CE4" s="174"/>
      <c r="CF4" s="166">
        <f ca="1">SUM(CG4:CK4)</f>
        <v>15.862104459943529</v>
      </c>
      <c r="CG4" s="167">
        <f t="shared" ref="CG4:CH6" ca="1" si="0">AL4*(INDEX($X$67:$X$86,MATCH($AD4,$W$67:$W$86,1)))</f>
        <v>7.9310522299717645</v>
      </c>
      <c r="CH4" s="167">
        <f t="shared" ca="1" si="0"/>
        <v>7.9310522299717645</v>
      </c>
      <c r="CI4" s="168"/>
      <c r="CJ4" s="168"/>
      <c r="CK4" s="168"/>
    </row>
    <row r="5" spans="1:89">
      <c r="V5" s="125" t="s">
        <v>94</v>
      </c>
      <c r="W5" s="122">
        <f>Cool_Design_T</f>
        <v>95</v>
      </c>
      <c r="X5" s="122"/>
      <c r="Z5" s="295">
        <v>12</v>
      </c>
      <c r="AA5" s="296">
        <v>1.3333333333333333</v>
      </c>
      <c r="AB5" s="258"/>
      <c r="AC5" s="164" t="s">
        <v>228</v>
      </c>
      <c r="AD5" s="164">
        <v>18</v>
      </c>
      <c r="AE5" s="165">
        <v>9</v>
      </c>
      <c r="AF5" s="165">
        <v>12</v>
      </c>
      <c r="AG5" s="165"/>
      <c r="AH5" s="164"/>
      <c r="AI5" s="164"/>
      <c r="AJ5" s="525"/>
      <c r="AK5" s="166">
        <f ca="1">SUM(AL5:AP5)</f>
        <v>21.296666666666674</v>
      </c>
      <c r="AL5" s="167">
        <f ca="1">IF((INDEX($AA$4:$AA$7,MATCH(INDOOR_1,$Z$4:$Z$7))*(INDEX($X$27:$X$46,MATCH($AD5,$W$27:$W$46,1))/(INDEX($AA$4:$AA$7,MATCH(INDOOR_1,$Z$4:$Z$7))+INDEX($AA$4:$AA$7,MATCH(INDOOR_2,$Z$4:$Z$7)))))
&gt;AR5,AR5,
(INDEX($AA$4:$AA$7,MATCH(INDOOR_1,$Z$4:$Z$7))*(INDEX($X$27:$X$46,MATCH($AD5,$W$27:$W$46,1))/(INDEX($AA$4:$AA$7,MATCH(INDOOR_1,$Z$4:$Z$7))+INDEX($AA$4:$AA$7,MATCH(INDOOR_2,$Z$4:$Z$7))))))</f>
        <v>9.1271428571428608</v>
      </c>
      <c r="AM5" s="167">
        <f ca="1">IF((INDEX($AA$4:$AA$7,MATCH(INDOOR_2,$Z$4:$Z$7))*(INDEX($X$27:$X$46,MATCH($AD5,$W$27:$W$46,1))/(INDEX($AA$4:$AA$7,MATCH(INDOOR_1,$Z$4:$Z$7))+INDEX($AA$4:$AA$7,MATCH(INDOOR_2,$Z$4:$Z$7)))))
&gt;AS5,AS5,
(INDEX($AA$4:$AA$7,MATCH(INDOOR_2,$Z$4:$Z$7))*(INDEX($X$27:$X$46,MATCH($AD5,$W$27:$W$46,1))/(INDEX($AA$4:$AA$7,MATCH(INDOOR_1,$Z$4:$Z$7))+INDEX($AA$4:$AA$7,MATCH(INDOOR_2,$Z$4:$Z$7))))))</f>
        <v>12.169523809523813</v>
      </c>
      <c r="AN5" s="168"/>
      <c r="AO5" s="168"/>
      <c r="AP5" s="168"/>
      <c r="AQ5" s="169">
        <f ca="1">SUM(AR5:AV5)</f>
        <v>23.542000000000002</v>
      </c>
      <c r="AR5" s="170">
        <f ca="1">INDEX('Cap based on indoor unit SZ'!$J$6:$J$21,MATCH(AE5,'Cap based on indoor unit SZ'!$I$6:$I$21))</f>
        <v>10.463111111111111</v>
      </c>
      <c r="AS5" s="170">
        <f ca="1">INDEX('Cap based on indoor unit SZ'!$J$6:$J$21,MATCH(AF5,'Cap based on indoor unit SZ'!$I$6:$I$21))</f>
        <v>13.078888888888891</v>
      </c>
      <c r="AT5" s="171"/>
      <c r="AU5" s="171"/>
      <c r="AV5" s="171"/>
      <c r="AW5" s="169">
        <f t="shared" ref="AW5:AW6" si="1">SUM(AX5:BB5)</f>
        <v>19</v>
      </c>
      <c r="AX5" s="170">
        <v>8.5</v>
      </c>
      <c r="AY5" s="170">
        <v>10.5</v>
      </c>
      <c r="AZ5" s="171"/>
      <c r="BA5" s="171"/>
      <c r="BB5" s="171"/>
      <c r="BC5" s="172">
        <f ca="1">SUM(BD5:BH5)</f>
        <v>21.296666666666674</v>
      </c>
      <c r="BD5" s="173">
        <f ca="1">(INDEX($AA$4:$AA$7,MATCH(AE5,$Z$4:$Z$7))*(INDEX($X$27:$X$46,MATCH($AD5,$W$27:$W$46,1))/(INDEX($AA$4:$AA$7,MATCH(AE5,$Z$4:$Z$7))+INDEX($AA$4:$AA$7,MATCH(AF5,$Z$4:$Z$7)))))</f>
        <v>9.1271428571428608</v>
      </c>
      <c r="BE5" s="173">
        <f ca="1">(INDEX($AA$4:$AA$7,MATCH(AF5,$Z$4:$Z$7))*(INDEX($X$27:$X$46,MATCH($AD5,$W$27:$W$46,1))/(INDEX($AA$4:$AA$7,MATCH(AE5,$Z$4:$Z$7))+INDEX($AA$4:$AA$7,MATCH(AF5,$Z$4:$Z$7)))))</f>
        <v>12.169523809523813</v>
      </c>
      <c r="BF5" s="174"/>
      <c r="BG5" s="174"/>
      <c r="BH5" s="174"/>
      <c r="BI5" s="166">
        <f ca="1">SUM(BJ5:BN5)</f>
        <v>23.941299145299151</v>
      </c>
      <c r="BJ5" s="167">
        <f ca="1">IF((INDEX($AA$4:$AA$7,MATCH(INDOOR_1,$Z$4:$Z$7))*(INDEX($X$118:$X$137,MATCH($AD5,$W$118:$W$137,1))/(INDEX($AA$4:$AA$7,MATCH(INDOOR_1,$Z$4:$Z$7))+INDEX($AA$4:$AA$7,MATCH(INDOOR_2,$Z$4:$Z$7)))))
&gt;BP5,BP5,
(INDEX($AA$4:$AA$7,MATCH(INDOOR_1,$Z$4:$Z$7))*(INDEX($X$118:$X$137,MATCH($AD5,$W$118:$W$137,1))/(INDEX($AA$4:$AA$7,MATCH(INDOOR_1,$Z$4:$Z$7))+INDEX($AA$4:$AA$7,MATCH(INDOOR_2,$Z$4:$Z$7))))))</f>
        <v>10.260556776556779</v>
      </c>
      <c r="BK5" s="167">
        <f ca="1">IF((INDEX($AA$4:$AA$7,MATCH(INDOOR_2,$Z$4:$Z$7))*(INDEX($X$118:$X$137,MATCH($AD5,$W$118:$W$137,1))/(INDEX($AA$4:$AA$7,MATCH(INDOOR_1,$Z$4:$Z$7))+INDEX($AA$4:$AA$7,MATCH(INDOOR_2,$Z$4:$Z$7)))))
&gt;BQ5,BQ5,
(INDEX($AA$4:$AA$7,MATCH(INDOOR_2,$Z$4:$Z$7))*(INDEX($X$118:$X$137,MATCH($AD5,$W$118:$W$137,1))/(INDEX($AA$4:$AA$7,MATCH(INDOOR_1,$Z$4:$Z$7))+INDEX($AA$4:$AA$7,MATCH(INDOOR_2,$Z$4:$Z$7))))))</f>
        <v>13.680742368742372</v>
      </c>
      <c r="BL5" s="168"/>
      <c r="BM5" s="168"/>
      <c r="BN5" s="168"/>
      <c r="BO5" s="169">
        <f ca="1">SUM(BP5:BT5)</f>
        <v>26.901046153846153</v>
      </c>
      <c r="BP5" s="170">
        <f ca="1">INDEX('Cap based on indoor unit SZ'!$V$43:$V$58,MATCH(AE5,'Cap based on indoor unit SZ'!$U$43:$U$58))</f>
        <v>11.956020512820512</v>
      </c>
      <c r="BQ5" s="170">
        <f ca="1">INDEX('Cap based on indoor unit SZ'!$V$43:$V$58,MATCH(AF5,'Cap based on indoor unit SZ'!$U$43:$U$58))</f>
        <v>14.945025641025641</v>
      </c>
      <c r="BR5" s="171"/>
      <c r="BS5" s="171"/>
      <c r="BT5" s="171"/>
      <c r="BU5" s="175">
        <v>9000</v>
      </c>
      <c r="BV5" s="175">
        <v>11000</v>
      </c>
      <c r="BW5" s="171"/>
      <c r="BX5" s="171"/>
      <c r="BY5" s="171"/>
      <c r="BZ5" s="172">
        <f ca="1">SUM(CA5:CE5)</f>
        <v>23.941299145299151</v>
      </c>
      <c r="CA5" s="173">
        <f ca="1">(INDEX($AA$4:$AA$7,MATCH(INDOOR_1,$Z$4:$Z$7))*(INDEX($X$118:$X$137,MATCH($AD5,$W$118:$W$137,1))/(INDEX($AA$4:$AA$7,MATCH(INDOOR_1,$Z$4:$Z$7))+INDEX($AA$4:$AA$7,MATCH(INDOOR_2,$Z$4:$Z$7)))))</f>
        <v>10.260556776556779</v>
      </c>
      <c r="CB5" s="173">
        <f ca="1">(INDEX($AA$4:$AA$7,MATCH(INDOOR_2,$Z$4:$Z$7))*(INDEX($X$118:$X$137,MATCH($AD5,$W$118:$W$137,1))/(INDEX($AA$4:$AA$7,MATCH(INDOOR_1,$Z$4:$Z$7))+INDEX($AA$4:$AA$7,MATCH(INDOOR_2,$Z$4:$Z$7)))))</f>
        <v>13.680742368742372</v>
      </c>
      <c r="CC5" s="174"/>
      <c r="CD5" s="174"/>
      <c r="CE5" s="174"/>
      <c r="CF5" s="166">
        <f ca="1">SUM(CG5:CK5)</f>
        <v>16.142901844774112</v>
      </c>
      <c r="CG5" s="167">
        <f t="shared" ca="1" si="0"/>
        <v>6.9183865049031912</v>
      </c>
      <c r="CH5" s="167">
        <f t="shared" ca="1" si="0"/>
        <v>9.224515339870921</v>
      </c>
      <c r="CI5" s="168"/>
      <c r="CJ5" s="168"/>
      <c r="CK5" s="168"/>
    </row>
    <row r="6" spans="1:89">
      <c r="V6" s="126" t="s">
        <v>95</v>
      </c>
      <c r="W6" s="122">
        <f>Heat_Design_T</f>
        <v>45</v>
      </c>
      <c r="X6" s="122"/>
      <c r="Z6" s="295">
        <v>18</v>
      </c>
      <c r="AA6" s="296">
        <v>2</v>
      </c>
      <c r="AB6" s="258"/>
      <c r="AC6" s="164" t="s">
        <v>186</v>
      </c>
      <c r="AD6" s="164">
        <v>18</v>
      </c>
      <c r="AE6" s="165">
        <v>12</v>
      </c>
      <c r="AF6" s="165">
        <v>12</v>
      </c>
      <c r="AG6" s="165"/>
      <c r="AH6" s="164"/>
      <c r="AI6" s="164"/>
      <c r="AJ6" s="526"/>
      <c r="AK6" s="166">
        <f ca="1">SUM(AL6:AP6)</f>
        <v>21.296666666666674</v>
      </c>
      <c r="AL6" s="167">
        <f ca="1">IF((INDEX($AA$4:$AA$7,MATCH(INDOOR_1,$Z$4:$Z$7))*(INDEX($X$27:$X$46,MATCH($AD6,$W$27:$W$46,1))/(INDEX($AA$4:$AA$7,MATCH(INDOOR_1,$Z$4:$Z$7))+INDEX($AA$4:$AA$7,MATCH(INDOOR_2,$Z$4:$Z$7)))))
&gt;AR6,AR6,
(INDEX($AA$4:$AA$7,MATCH(INDOOR_1,$Z$4:$Z$7))*(INDEX($X$27:$X$46,MATCH($AD6,$W$27:$W$46,1))/(INDEX($AA$4:$AA$7,MATCH(INDOOR_1,$Z$4:$Z$7))+INDEX($AA$4:$AA$7,MATCH(INDOOR_2,$Z$4:$Z$7))))))</f>
        <v>10.648333333333337</v>
      </c>
      <c r="AM6" s="167">
        <f ca="1">IF((INDEX($AA$4:$AA$7,MATCH(INDOOR_2,$Z$4:$Z$7))*(INDEX($X$27:$X$46,MATCH($AD6,$W$27:$W$46,1))/(INDEX($AA$4:$AA$7,MATCH(INDOOR_1,$Z$4:$Z$7))+INDEX($AA$4:$AA$7,MATCH(INDOOR_2,$Z$4:$Z$7)))))
&gt;AS6,AS6,
(INDEX($AA$4:$AA$7,MATCH(INDOOR_2,$Z$4:$Z$7))*(INDEX($X$27:$X$46,MATCH($AD6,$W$27:$W$46,1))/(INDEX($AA$4:$AA$7,MATCH(INDOOR_1,$Z$4:$Z$7))+INDEX($AA$4:$AA$7,MATCH(INDOOR_2,$Z$4:$Z$7))))))</f>
        <v>10.648333333333337</v>
      </c>
      <c r="AN6" s="168"/>
      <c r="AO6" s="168"/>
      <c r="AP6" s="168"/>
      <c r="AQ6" s="169">
        <f ca="1">SUM(AR6:AV6)</f>
        <v>26.157777777777781</v>
      </c>
      <c r="AR6" s="170">
        <f ca="1">INDEX('Cap based on indoor unit SZ'!$J$6:$J$21,MATCH(AE6,'Cap based on indoor unit SZ'!$I$6:$I$21))</f>
        <v>13.078888888888891</v>
      </c>
      <c r="AS6" s="170">
        <f ca="1">INDEX('Cap based on indoor unit SZ'!$J$6:$J$21,MATCH(AF6,'Cap based on indoor unit SZ'!$I$6:$I$21))</f>
        <v>13.078888888888891</v>
      </c>
      <c r="AT6" s="171"/>
      <c r="AU6" s="171"/>
      <c r="AV6" s="171"/>
      <c r="AW6" s="169">
        <f t="shared" si="1"/>
        <v>19</v>
      </c>
      <c r="AX6" s="170">
        <v>9.5</v>
      </c>
      <c r="AY6" s="170">
        <v>9.5</v>
      </c>
      <c r="AZ6" s="171"/>
      <c r="BA6" s="171"/>
      <c r="BB6" s="171"/>
      <c r="BC6" s="172">
        <f ca="1">SUM(BD6:BH6)</f>
        <v>21.296666666666674</v>
      </c>
      <c r="BD6" s="173">
        <f ca="1">(INDEX($AA$4:$AA$7,MATCH(AE6,$Z$4:$Z$7))*(INDEX($X$27:$X$46,MATCH($AD6,$W$27:$W$46,1))/(INDEX($AA$4:$AA$7,MATCH(AE6,$Z$4:$Z$7))+INDEX($AA$4:$AA$7,MATCH(AF6,$Z$4:$Z$7)))))</f>
        <v>10.648333333333337</v>
      </c>
      <c r="BE6" s="173">
        <f ca="1">(INDEX($AA$4:$AA$7,MATCH(AF6,$Z$4:$Z$7))*(INDEX($X$27:$X$46,MATCH($AD6,$W$27:$W$46,1))/(INDEX($AA$4:$AA$7,MATCH(AE6,$Z$4:$Z$7))+INDEX($AA$4:$AA$7,MATCH(AF6,$Z$4:$Z$7)))))</f>
        <v>10.648333333333337</v>
      </c>
      <c r="BF6" s="174"/>
      <c r="BG6" s="174"/>
      <c r="BH6" s="174"/>
      <c r="BI6" s="166">
        <f ca="1">SUM(BJ6:BN6)</f>
        <v>23.941299145299148</v>
      </c>
      <c r="BJ6" s="167">
        <f ca="1">IF((INDEX($AA$4:$AA$7,MATCH(INDOOR_1,$Z$4:$Z$7))*(INDEX($X$118:$X$137,MATCH($AD6,$W$118:$W$137,1))/(INDEX($AA$4:$AA$7,MATCH(INDOOR_1,$Z$4:$Z$7))+INDEX($AA$4:$AA$7,MATCH(INDOOR_2,$Z$4:$Z$7)))))
&gt;BP6,BP6,
(INDEX($AA$4:$AA$7,MATCH(INDOOR_1,$Z$4:$Z$7))*(INDEX($X$118:$X$137,MATCH($AD6,$W$118:$W$137,1))/(INDEX($AA$4:$AA$7,MATCH(INDOOR_1,$Z$4:$Z$7))+INDEX($AA$4:$AA$7,MATCH(INDOOR_2,$Z$4:$Z$7))))))</f>
        <v>11.970649572649574</v>
      </c>
      <c r="BK6" s="167">
        <f ca="1">IF((INDEX($AA$4:$AA$7,MATCH(INDOOR_2,$Z$4:$Z$7))*(INDEX($X$118:$X$137,MATCH($AD6,$W$118:$W$137,1))/(INDEX($AA$4:$AA$7,MATCH(INDOOR_1,$Z$4:$Z$7))+INDEX($AA$4:$AA$7,MATCH(INDOOR_2,$Z$4:$Z$7)))))
&gt;BQ6,BQ6,
(INDEX($AA$4:$AA$7,MATCH(INDOOR_2,$Z$4:$Z$7))*(INDEX($X$118:$X$137,MATCH($AD6,$W$118:$W$137,1))/(INDEX($AA$4:$AA$7,MATCH(INDOOR_1,$Z$4:$Z$7))+INDEX($AA$4:$AA$7,MATCH(INDOOR_2,$Z$4:$Z$7))))))</f>
        <v>11.970649572649574</v>
      </c>
      <c r="BL6" s="168"/>
      <c r="BM6" s="168"/>
      <c r="BN6" s="168"/>
      <c r="BO6" s="169">
        <f ca="1">SUM(BP6:BT6)</f>
        <v>29.890051282051282</v>
      </c>
      <c r="BP6" s="170">
        <f ca="1">INDEX('Cap based on indoor unit SZ'!$V$43:$V$58,MATCH(AE6,'Cap based on indoor unit SZ'!$U$43:$U$58))</f>
        <v>14.945025641025641</v>
      </c>
      <c r="BQ6" s="170">
        <f ca="1">INDEX('Cap based on indoor unit SZ'!$V$43:$V$58,MATCH(AF6,'Cap based on indoor unit SZ'!$U$43:$U$58))</f>
        <v>14.945025641025641</v>
      </c>
      <c r="BR6" s="171"/>
      <c r="BS6" s="171"/>
      <c r="BT6" s="171"/>
      <c r="BU6" s="175">
        <v>10000</v>
      </c>
      <c r="BV6" s="175">
        <v>10000</v>
      </c>
      <c r="BW6" s="171"/>
      <c r="BX6" s="171"/>
      <c r="BY6" s="171"/>
      <c r="BZ6" s="172">
        <f ca="1">SUM(CA6:CE6)</f>
        <v>23.941299145299148</v>
      </c>
      <c r="CA6" s="173">
        <f ca="1">(INDEX($AA$4:$AA$7,MATCH(INDOOR_1,$Z$4:$Z$7))*(INDEX($X$118:$X$137,MATCH($AD6,$W$118:$W$137,1))/(INDEX($AA$4:$AA$7,MATCH(INDOOR_1,$Z$4:$Z$7))+INDEX($AA$4:$AA$7,MATCH(INDOOR_2,$Z$4:$Z$7)))))</f>
        <v>11.970649572649574</v>
      </c>
      <c r="CB6" s="173">
        <f ca="1">(INDEX($AA$4:$AA$7,MATCH(INDOOR_2,$Z$4:$Z$7))*(INDEX($X$118:$X$137,MATCH($AD6,$W$118:$W$137,1))/(INDEX($AA$4:$AA$7,MATCH(INDOOR_1,$Z$4:$Z$7))+INDEX($AA$4:$AA$7,MATCH(INDOOR_2,$Z$4:$Z$7)))))</f>
        <v>11.970649572649574</v>
      </c>
      <c r="CC6" s="174"/>
      <c r="CD6" s="174"/>
      <c r="CE6" s="174"/>
      <c r="CF6" s="166">
        <f ca="1">SUM(CG6:CK6)</f>
        <v>16.142901844774112</v>
      </c>
      <c r="CG6" s="167">
        <f t="shared" ca="1" si="0"/>
        <v>8.0714509223870561</v>
      </c>
      <c r="CH6" s="167">
        <f t="shared" ca="1" si="0"/>
        <v>8.0714509223870561</v>
      </c>
      <c r="CI6" s="168"/>
      <c r="CJ6" s="168"/>
      <c r="CK6" s="168"/>
    </row>
    <row r="7" spans="1:89">
      <c r="V7" s="127" t="s">
        <v>36</v>
      </c>
      <c r="W7" s="254">
        <f ca="1">INDEX('Non-Ducted'!X27:X46,MATCH('Multizone Sizing Tool'!$F$6,'Non-Ducted'!W27:W46,1))</f>
        <v>32.046666666666667</v>
      </c>
      <c r="Z7" s="295">
        <v>24</v>
      </c>
      <c r="AA7" s="296">
        <f>8/3</f>
        <v>2.6666666666666665</v>
      </c>
      <c r="AB7" s="258"/>
      <c r="AC7" s="160" t="s">
        <v>46</v>
      </c>
      <c r="AD7" s="160">
        <v>24</v>
      </c>
      <c r="AE7" s="160"/>
      <c r="AF7" s="160"/>
      <c r="AG7" s="160"/>
      <c r="AH7" s="160"/>
      <c r="AI7" s="160"/>
      <c r="AJ7" s="176"/>
      <c r="AK7" s="166"/>
      <c r="AL7" s="162" t="s">
        <v>60</v>
      </c>
      <c r="AM7" s="162" t="s">
        <v>61</v>
      </c>
      <c r="AN7" s="162" t="s">
        <v>62</v>
      </c>
      <c r="AO7" s="162" t="s">
        <v>63</v>
      </c>
      <c r="AP7" s="162" t="s">
        <v>64</v>
      </c>
      <c r="AQ7" s="169"/>
      <c r="AR7" s="160" t="s">
        <v>60</v>
      </c>
      <c r="AS7" s="160" t="s">
        <v>61</v>
      </c>
      <c r="AT7" s="160" t="s">
        <v>62</v>
      </c>
      <c r="AU7" s="160" t="s">
        <v>63</v>
      </c>
      <c r="AV7" s="160" t="s">
        <v>64</v>
      </c>
      <c r="AW7" s="169"/>
      <c r="AX7" s="160" t="s">
        <v>60</v>
      </c>
      <c r="AY7" s="160" t="s">
        <v>61</v>
      </c>
      <c r="AZ7" s="160" t="s">
        <v>62</v>
      </c>
      <c r="BA7" s="160" t="s">
        <v>63</v>
      </c>
      <c r="BB7" s="160" t="s">
        <v>64</v>
      </c>
      <c r="BC7" s="172"/>
      <c r="BD7" s="163" t="s">
        <v>60</v>
      </c>
      <c r="BE7" s="163" t="s">
        <v>61</v>
      </c>
      <c r="BF7" s="163" t="s">
        <v>62</v>
      </c>
      <c r="BG7" s="163" t="s">
        <v>63</v>
      </c>
      <c r="BH7" s="163" t="s">
        <v>64</v>
      </c>
      <c r="BI7" s="166"/>
      <c r="BJ7" s="162" t="s">
        <v>60</v>
      </c>
      <c r="BK7" s="162" t="s">
        <v>61</v>
      </c>
      <c r="BL7" s="162" t="s">
        <v>62</v>
      </c>
      <c r="BM7" s="162" t="s">
        <v>63</v>
      </c>
      <c r="BN7" s="162" t="s">
        <v>64</v>
      </c>
      <c r="BO7" s="169"/>
      <c r="BP7" s="160" t="s">
        <v>60</v>
      </c>
      <c r="BQ7" s="160" t="s">
        <v>61</v>
      </c>
      <c r="BR7" s="160" t="s">
        <v>62</v>
      </c>
      <c r="BS7" s="160" t="s">
        <v>63</v>
      </c>
      <c r="BT7" s="160" t="s">
        <v>64</v>
      </c>
      <c r="BU7" s="160" t="s">
        <v>60</v>
      </c>
      <c r="BV7" s="160" t="s">
        <v>61</v>
      </c>
      <c r="BW7" s="160" t="s">
        <v>62</v>
      </c>
      <c r="BX7" s="160" t="s">
        <v>63</v>
      </c>
      <c r="BY7" s="160" t="s">
        <v>64</v>
      </c>
      <c r="BZ7" s="172"/>
      <c r="CA7" s="163" t="s">
        <v>60</v>
      </c>
      <c r="CB7" s="163" t="s">
        <v>61</v>
      </c>
      <c r="CC7" s="163" t="s">
        <v>62</v>
      </c>
      <c r="CD7" s="163" t="s">
        <v>63</v>
      </c>
      <c r="CE7" s="163" t="s">
        <v>64</v>
      </c>
      <c r="CF7" s="166"/>
      <c r="CG7" s="162" t="s">
        <v>60</v>
      </c>
      <c r="CH7" s="162" t="s">
        <v>61</v>
      </c>
      <c r="CI7" s="162" t="s">
        <v>62</v>
      </c>
      <c r="CJ7" s="162" t="s">
        <v>63</v>
      </c>
      <c r="CK7" s="162" t="s">
        <v>64</v>
      </c>
    </row>
    <row r="8" spans="1:89">
      <c r="V8" s="126" t="s">
        <v>104</v>
      </c>
      <c r="W8" s="254">
        <f ca="1">INDEX('Non-Ducted'!X118:X137,MATCH('Multizone Sizing Tool'!$F$6,'Non-Ducted'!W118:W137,1))</f>
        <v>36.210666666666668</v>
      </c>
      <c r="AC8" s="164" t="s">
        <v>230</v>
      </c>
      <c r="AD8" s="164">
        <v>24</v>
      </c>
      <c r="AE8" s="165">
        <v>9</v>
      </c>
      <c r="AF8" s="165">
        <v>9</v>
      </c>
      <c r="AG8" s="165"/>
      <c r="AH8" s="164"/>
      <c r="AI8" s="164"/>
      <c r="AJ8" s="522">
        <v>2</v>
      </c>
      <c r="AK8" s="166">
        <f t="shared" ref="AK8:AK18" ca="1" si="2">SUM(AL8:AP8)</f>
        <v>20.926222222222222</v>
      </c>
      <c r="AL8" s="167">
        <f t="shared" ref="AL8:AL13" ca="1" si="3">IF((INDEX($AA$4:$AA$7,MATCH(INDOOR_1,$Z$4:$Z$7))*(INDEX($X$27:$X$46,MATCH($AD8,$W$27:$W$46,1))/(INDEX($AA$4:$AA$7,MATCH(INDOOR_1,$Z$4:$Z$7))+INDEX($AA$4:$AA$7,MATCH(INDOOR_2,$Z$4:$Z$7)))))
&gt;AR8,AR8,
(INDEX($AA$4:$AA$7,MATCH(INDOOR_1,$Z$4:$Z$7))*(INDEX($X$27:$X$46,MATCH($AD8,$W$27:$W$46,1))/(INDEX($AA$4:$AA$7,MATCH(INDOOR_1,$Z$4:$Z$7))+INDEX($AA$4:$AA$7,MATCH(INDOOR_2,$Z$4:$Z$7))))))</f>
        <v>10.463111111111111</v>
      </c>
      <c r="AM8" s="167">
        <f t="shared" ref="AM8:AM13" ca="1" si="4">IF((INDEX($AA$4:$AA$7,MATCH(INDOOR_2,$Z$4:$Z$7))*(INDEX($X$27:$X$46,MATCH($AD8,$W$27:$W$46,1))/(INDEX($AA$4:$AA$7,MATCH(INDOOR_1,$Z$4:$Z$7))+INDEX($AA$4:$AA$7,MATCH(INDOOR_2,$Z$4:$Z$7)))))
&gt;AS8,AS8,
(INDEX($AA$4:$AA$7,MATCH(INDOOR_2,$Z$4:$Z$7))*(INDEX($X$27:$X$46,MATCH($AD8,$W$27:$W$46,1))/(INDEX($AA$4:$AA$7,MATCH(INDOOR_1,$Z$4:$Z$7))+INDEX($AA$4:$AA$7,MATCH(INDOOR_2,$Z$4:$Z$7))))))</f>
        <v>10.463111111111111</v>
      </c>
      <c r="AN8" s="168"/>
      <c r="AO8" s="168"/>
      <c r="AP8" s="168"/>
      <c r="AQ8" s="169">
        <f t="shared" ref="AQ8:AQ18" ca="1" si="5">SUM(AR8:AV8)</f>
        <v>20.926222222222222</v>
      </c>
      <c r="AR8" s="170">
        <f ca="1">INDEX('Cap based on indoor unit SZ'!$J$6:$J$21,MATCH(AE8,'Cap based on indoor unit SZ'!$I$6:$I$21))</f>
        <v>10.463111111111111</v>
      </c>
      <c r="AS8" s="170">
        <f ca="1">INDEX('Cap based on indoor unit SZ'!$J$6:$J$21,MATCH(AF8,'Cap based on indoor unit SZ'!$I$6:$I$21))</f>
        <v>10.463111111111111</v>
      </c>
      <c r="AT8" s="171"/>
      <c r="AU8" s="171"/>
      <c r="AV8" s="171"/>
      <c r="AW8" s="169">
        <f t="shared" ref="AW8:AW18" si="6">SUM(AX8:BB8)</f>
        <v>19</v>
      </c>
      <c r="AX8" s="170">
        <v>9.5</v>
      </c>
      <c r="AY8" s="170">
        <v>9.5</v>
      </c>
      <c r="AZ8" s="171"/>
      <c r="BA8" s="171"/>
      <c r="BB8" s="171"/>
      <c r="BC8" s="172">
        <f t="shared" ref="BC8:BC18" ca="1" si="7">SUM(BD8:BH8)</f>
        <v>32.046666666666667</v>
      </c>
      <c r="BD8" s="173">
        <f t="shared" ref="BD8:BD13" ca="1" si="8">(INDEX($AA$4:$AA$7,MATCH(AE8,$Z$4:$Z$7))*(INDEX($X$27:$X$46,MATCH($AD8,$W$27:$W$46,1))/(INDEX($AA$4:$AA$7,MATCH(AE8,$Z$4:$Z$7))+INDEX($AA$4:$AA$7,MATCH(AF8,$Z$4:$Z$7)))))</f>
        <v>16.023333333333333</v>
      </c>
      <c r="BE8" s="173">
        <f t="shared" ref="BE8:BE13" ca="1" si="9">(INDEX($AA$4:$AA$7,MATCH(AF8,$Z$4:$Z$7))*(INDEX($X$27:$X$46,MATCH($AD8,$W$27:$W$46,1))/(INDEX($AA$4:$AA$7,MATCH(AE8,$Z$4:$Z$7))+INDEX($AA$4:$AA$7,MATCH(AF8,$Z$4:$Z$7)))))</f>
        <v>16.023333333333333</v>
      </c>
      <c r="BF8" s="174"/>
      <c r="BG8" s="174"/>
      <c r="BH8" s="174"/>
      <c r="BI8" s="166">
        <f t="shared" ref="BI8:BI18" ca="1" si="10">SUM(BJ8:BN8)</f>
        <v>23.912041025641024</v>
      </c>
      <c r="BJ8" s="167">
        <f t="shared" ref="BJ8:BJ13" ca="1" si="11">IF((INDEX($AA$4:$AA$7,MATCH(INDOOR_1,$Z$4:$Z$7))*(INDEX($X$118:$X$137,MATCH($AD8,$W$118:$W$137,1))/(INDEX($AA$4:$AA$7,MATCH(INDOOR_1,$Z$4:$Z$7))+INDEX($AA$4:$AA$7,MATCH(INDOOR_2,$Z$4:$Z$7)))))
&gt;BP8,BP8,
(INDEX($AA$4:$AA$7,MATCH(INDOOR_1,$Z$4:$Z$7))*(INDEX($X$118:$X$137,MATCH($AD8,$W$118:$W$137,1))/(INDEX($AA$4:$AA$7,MATCH(INDOOR_1,$Z$4:$Z$7))+INDEX($AA$4:$AA$7,MATCH(INDOOR_2,$Z$4:$Z$7))))))</f>
        <v>11.956020512820512</v>
      </c>
      <c r="BK8" s="167">
        <f t="shared" ref="BK8:BK13" ca="1" si="12">IF((INDEX($AA$4:$AA$7,MATCH(INDOOR_2,$Z$4:$Z$7))*(INDEX($X$118:$X$137,MATCH($AD8,$W$118:$W$137,1))/(INDEX($AA$4:$AA$7,MATCH(INDOOR_1,$Z$4:$Z$7))+INDEX($AA$4:$AA$7,MATCH(INDOOR_2,$Z$4:$Z$7)))))
&gt;BQ8,BQ8,
(INDEX($AA$4:$AA$7,MATCH(INDOOR_2,$Z$4:$Z$7))*(INDEX($X$118:$X$137,MATCH($AD8,$W$118:$W$137,1))/(INDEX($AA$4:$AA$7,MATCH(INDOOR_1,$Z$4:$Z$7))+INDEX($AA$4:$AA$7,MATCH(INDOOR_2,$Z$4:$Z$7))))))</f>
        <v>11.956020512820512</v>
      </c>
      <c r="BL8" s="168"/>
      <c r="BM8" s="168"/>
      <c r="BN8" s="168"/>
      <c r="BO8" s="169">
        <f t="shared" ref="BO8:BO18" ca="1" si="13">SUM(BP8:BT8)</f>
        <v>23.912041025641024</v>
      </c>
      <c r="BP8" s="170">
        <f ca="1">INDEX('Cap based on indoor unit SZ'!$V$43:$V$58,MATCH(AE8,'Cap based on indoor unit SZ'!$U$43:$U$58))</f>
        <v>11.956020512820512</v>
      </c>
      <c r="BQ8" s="170">
        <f ca="1">INDEX('Cap based on indoor unit SZ'!$V$43:$V$58,MATCH(AF8,'Cap based on indoor unit SZ'!$U$43:$U$58))</f>
        <v>11.956020512820512</v>
      </c>
      <c r="BR8" s="171"/>
      <c r="BS8" s="171"/>
      <c r="BT8" s="171"/>
      <c r="BU8" s="175">
        <v>10000</v>
      </c>
      <c r="BV8" s="175">
        <v>10000</v>
      </c>
      <c r="BW8" s="171"/>
      <c r="BX8" s="171"/>
      <c r="BY8" s="171"/>
      <c r="BZ8" s="172">
        <f t="shared" ref="BZ8:BZ18" ca="1" si="14">SUM(CA8:CE8)</f>
        <v>36.210666666666668</v>
      </c>
      <c r="CA8" s="173">
        <f t="shared" ref="CA8:CA13" ca="1" si="15">(INDEX($AA$4:$AA$7,MATCH(INDOOR_1,$Z$4:$Z$7))*(INDEX($X$118:$X$137,MATCH($AD8,$W$118:$W$137,1))/(INDEX($AA$4:$AA$7,MATCH(INDOOR_1,$Z$4:$Z$7))+INDEX($AA$4:$AA$7,MATCH(INDOOR_2,$Z$4:$Z$7)))))</f>
        <v>18.105333333333334</v>
      </c>
      <c r="CB8" s="173">
        <f t="shared" ref="CB8:CB13" ca="1" si="16">(INDEX($AA$4:$AA$7,MATCH(INDOOR_2,$Z$4:$Z$7))*(INDEX($X$118:$X$137,MATCH($AD8,$W$118:$W$137,1))/(INDEX($AA$4:$AA$7,MATCH(INDOOR_1,$Z$4:$Z$7))+INDEX($AA$4:$AA$7,MATCH(INDOOR_2,$Z$4:$Z$7)))))</f>
        <v>18.105333333333334</v>
      </c>
      <c r="CC8" s="174"/>
      <c r="CD8" s="174"/>
      <c r="CE8" s="174"/>
      <c r="CF8" s="166">
        <f t="shared" ref="CF8:CF18" ca="1" si="17">SUM(CG8:CK8)</f>
        <v>16.232892118902221</v>
      </c>
      <c r="CG8" s="167">
        <f t="shared" ref="CG8:CG18" ca="1" si="18">AL8*(INDEX($X$67:$X$86,MATCH($AD8,$W$67:$W$86,1)))</f>
        <v>8.1164460594511105</v>
      </c>
      <c r="CH8" s="167">
        <f t="shared" ref="CH8:CH18" ca="1" si="19">AM8*(INDEX($X$67:$X$86,MATCH($AD8,$W$67:$W$86,1)))</f>
        <v>8.1164460594511105</v>
      </c>
      <c r="CI8" s="168"/>
      <c r="CJ8" s="168"/>
      <c r="CK8" s="168"/>
    </row>
    <row r="9" spans="1:89">
      <c r="V9" s="128" t="s">
        <v>259</v>
      </c>
      <c r="W9" s="254">
        <f ca="1">W7*'Multizone Sizing Tool'!H20</f>
        <v>30.651519999746153</v>
      </c>
      <c r="X9" s="177"/>
      <c r="AC9" s="164" t="s">
        <v>228</v>
      </c>
      <c r="AD9" s="164">
        <v>24</v>
      </c>
      <c r="AE9" s="165">
        <v>9</v>
      </c>
      <c r="AF9" s="165">
        <v>12</v>
      </c>
      <c r="AG9" s="165"/>
      <c r="AH9" s="164"/>
      <c r="AI9" s="164"/>
      <c r="AJ9" s="523"/>
      <c r="AK9" s="166">
        <f t="shared" ca="1" si="2"/>
        <v>23.542000000000002</v>
      </c>
      <c r="AL9" s="167">
        <f t="shared" ca="1" si="3"/>
        <v>10.463111111111111</v>
      </c>
      <c r="AM9" s="167">
        <f t="shared" ca="1" si="4"/>
        <v>13.078888888888891</v>
      </c>
      <c r="AN9" s="168"/>
      <c r="AO9" s="168"/>
      <c r="AP9" s="168"/>
      <c r="AQ9" s="169">
        <f t="shared" ca="1" si="5"/>
        <v>23.542000000000002</v>
      </c>
      <c r="AR9" s="170">
        <f ca="1">INDEX('Cap based on indoor unit SZ'!$J$6:$J$21,MATCH(AE9,'Cap based on indoor unit SZ'!$I$6:$I$21))</f>
        <v>10.463111111111111</v>
      </c>
      <c r="AS9" s="170">
        <f ca="1">INDEX('Cap based on indoor unit SZ'!$J$6:$J$21,MATCH(AF9,'Cap based on indoor unit SZ'!$I$6:$I$21))</f>
        <v>13.078888888888891</v>
      </c>
      <c r="AT9" s="171"/>
      <c r="AU9" s="171"/>
      <c r="AV9" s="171"/>
      <c r="AW9" s="169">
        <f t="shared" si="6"/>
        <v>21.5</v>
      </c>
      <c r="AX9" s="170">
        <v>9.5</v>
      </c>
      <c r="AY9" s="170">
        <v>12</v>
      </c>
      <c r="AZ9" s="171"/>
      <c r="BA9" s="171"/>
      <c r="BB9" s="171"/>
      <c r="BC9" s="172">
        <f t="shared" ca="1" si="7"/>
        <v>32.046666666666674</v>
      </c>
      <c r="BD9" s="173">
        <f t="shared" ca="1" si="8"/>
        <v>13.734285714285717</v>
      </c>
      <c r="BE9" s="173">
        <f t="shared" ca="1" si="9"/>
        <v>18.312380952380956</v>
      </c>
      <c r="BF9" s="174"/>
      <c r="BG9" s="174"/>
      <c r="BH9" s="174"/>
      <c r="BI9" s="166">
        <f t="shared" ca="1" si="10"/>
        <v>26.901046153846153</v>
      </c>
      <c r="BJ9" s="167">
        <f t="shared" ca="1" si="11"/>
        <v>11.956020512820512</v>
      </c>
      <c r="BK9" s="167">
        <f t="shared" ca="1" si="12"/>
        <v>14.945025641025641</v>
      </c>
      <c r="BL9" s="168"/>
      <c r="BM9" s="168"/>
      <c r="BN9" s="168"/>
      <c r="BO9" s="169">
        <f t="shared" ca="1" si="13"/>
        <v>26.901046153846153</v>
      </c>
      <c r="BP9" s="170">
        <f ca="1">INDEX('Cap based on indoor unit SZ'!$V$43:$V$58,MATCH(AE9,'Cap based on indoor unit SZ'!$U$43:$U$58))</f>
        <v>11.956020512820512</v>
      </c>
      <c r="BQ9" s="170">
        <f ca="1">INDEX('Cap based on indoor unit SZ'!$V$43:$V$58,MATCH(AF9,'Cap based on indoor unit SZ'!$U$43:$U$58))</f>
        <v>14.945025641025641</v>
      </c>
      <c r="BR9" s="171"/>
      <c r="BS9" s="171"/>
      <c r="BT9" s="171"/>
      <c r="BU9" s="175">
        <v>10000</v>
      </c>
      <c r="BV9" s="175">
        <v>13000</v>
      </c>
      <c r="BW9" s="171"/>
      <c r="BX9" s="171"/>
      <c r="BY9" s="171"/>
      <c r="BZ9" s="172">
        <f t="shared" ca="1" si="14"/>
        <v>36.210666666666668</v>
      </c>
      <c r="CA9" s="173">
        <f t="shared" ca="1" si="15"/>
        <v>15.518857142857145</v>
      </c>
      <c r="CB9" s="173">
        <f t="shared" ca="1" si="16"/>
        <v>20.691809523809525</v>
      </c>
      <c r="CC9" s="174"/>
      <c r="CD9" s="174"/>
      <c r="CE9" s="174"/>
      <c r="CF9" s="166">
        <f t="shared" ca="1" si="17"/>
        <v>18.262003633765001</v>
      </c>
      <c r="CG9" s="167">
        <f t="shared" ca="1" si="18"/>
        <v>8.1164460594511105</v>
      </c>
      <c r="CH9" s="167">
        <f t="shared" ca="1" si="19"/>
        <v>10.145557574313891</v>
      </c>
      <c r="CI9" s="168"/>
      <c r="CJ9" s="168"/>
      <c r="CK9" s="168"/>
    </row>
    <row r="10" spans="1:89">
      <c r="V10" s="128" t="s">
        <v>258</v>
      </c>
      <c r="W10" s="254">
        <f ca="1">W8*'Multizone Sizing Tool'!I20</f>
        <v>35.098247016774252</v>
      </c>
      <c r="AC10" s="164" t="s">
        <v>188</v>
      </c>
      <c r="AD10" s="164">
        <v>24</v>
      </c>
      <c r="AE10" s="165">
        <v>9</v>
      </c>
      <c r="AF10" s="165">
        <v>18</v>
      </c>
      <c r="AG10" s="165"/>
      <c r="AH10" s="164"/>
      <c r="AI10" s="164"/>
      <c r="AJ10" s="523"/>
      <c r="AK10" s="166">
        <f t="shared" ca="1" si="2"/>
        <v>30.284222222222223</v>
      </c>
      <c r="AL10" s="167">
        <f t="shared" ca="1" si="3"/>
        <v>10.463111111111111</v>
      </c>
      <c r="AM10" s="167">
        <f t="shared" ca="1" si="4"/>
        <v>19.821111111111112</v>
      </c>
      <c r="AN10" s="168"/>
      <c r="AO10" s="168"/>
      <c r="AP10" s="168"/>
      <c r="AQ10" s="169">
        <f t="shared" ca="1" si="5"/>
        <v>30.284222222222223</v>
      </c>
      <c r="AR10" s="170">
        <f ca="1">INDEX('Cap based on indoor unit SZ'!$J$6:$J$21,MATCH(AE10,'Cap based on indoor unit SZ'!$I$6:$I$21))</f>
        <v>10.463111111111111</v>
      </c>
      <c r="AS10" s="170">
        <f ca="1">INDEX('Cap based on indoor unit SZ'!$J$6:$J$21,MATCH(AF10,'Cap based on indoor unit SZ'!$I$6:$I$21))</f>
        <v>19.821111111111112</v>
      </c>
      <c r="AT10" s="171"/>
      <c r="AU10" s="171"/>
      <c r="AV10" s="171"/>
      <c r="AW10" s="169">
        <f t="shared" si="6"/>
        <v>25</v>
      </c>
      <c r="AX10" s="170">
        <v>8.4</v>
      </c>
      <c r="AY10" s="170">
        <v>16.600000000000001</v>
      </c>
      <c r="AZ10" s="171"/>
      <c r="BA10" s="171"/>
      <c r="BB10" s="171"/>
      <c r="BC10" s="172">
        <f t="shared" ca="1" si="7"/>
        <v>32.046666666666667</v>
      </c>
      <c r="BD10" s="173">
        <f t="shared" ca="1" si="8"/>
        <v>10.682222222222222</v>
      </c>
      <c r="BE10" s="173">
        <f t="shared" ca="1" si="9"/>
        <v>21.364444444444445</v>
      </c>
      <c r="BF10" s="174"/>
      <c r="BG10" s="174"/>
      <c r="BH10" s="174"/>
      <c r="BI10" s="166">
        <f t="shared" ca="1" si="10"/>
        <v>36.096464957264956</v>
      </c>
      <c r="BJ10" s="167">
        <f t="shared" ca="1" si="11"/>
        <v>11.956020512820512</v>
      </c>
      <c r="BK10" s="167">
        <f t="shared" ca="1" si="12"/>
        <v>24.140444444444444</v>
      </c>
      <c r="BL10" s="168"/>
      <c r="BM10" s="168"/>
      <c r="BN10" s="168"/>
      <c r="BO10" s="169">
        <f t="shared" ca="1" si="13"/>
        <v>36.554841025641025</v>
      </c>
      <c r="BP10" s="170">
        <f ca="1">INDEX('Cap based on indoor unit SZ'!$V$43:$V$58,MATCH(AE10,'Cap based on indoor unit SZ'!$U$43:$U$58))</f>
        <v>11.956020512820512</v>
      </c>
      <c r="BQ10" s="170">
        <f ca="1">INDEX('Cap based on indoor unit SZ'!$V$43:$V$58,MATCH(AF10,'Cap based on indoor unit SZ'!$U$43:$U$58))</f>
        <v>24.598820512820513</v>
      </c>
      <c r="BR10" s="171"/>
      <c r="BS10" s="171"/>
      <c r="BT10" s="171"/>
      <c r="BU10" s="175">
        <v>9000</v>
      </c>
      <c r="BV10" s="175">
        <v>18000</v>
      </c>
      <c r="BW10" s="171"/>
      <c r="BX10" s="171"/>
      <c r="BY10" s="171"/>
      <c r="BZ10" s="172">
        <f t="shared" ca="1" si="14"/>
        <v>36.210666666666668</v>
      </c>
      <c r="CA10" s="173">
        <f t="shared" ca="1" si="15"/>
        <v>12.070222222222222</v>
      </c>
      <c r="CB10" s="173">
        <f t="shared" ca="1" si="16"/>
        <v>24.140444444444444</v>
      </c>
      <c r="CC10" s="174"/>
      <c r="CD10" s="174"/>
      <c r="CE10" s="174"/>
      <c r="CF10" s="166">
        <f t="shared" ca="1" si="17"/>
        <v>23.492081227931738</v>
      </c>
      <c r="CG10" s="167">
        <f t="shared" ca="1" si="18"/>
        <v>8.1164460594511105</v>
      </c>
      <c r="CH10" s="167">
        <f t="shared" ca="1" si="19"/>
        <v>15.375635168480628</v>
      </c>
      <c r="CI10" s="168"/>
      <c r="CJ10" s="168"/>
      <c r="CK10" s="168"/>
    </row>
    <row r="11" spans="1:89">
      <c r="AC11" s="164" t="s">
        <v>186</v>
      </c>
      <c r="AD11" s="164">
        <v>24</v>
      </c>
      <c r="AE11" s="165">
        <v>12</v>
      </c>
      <c r="AF11" s="165">
        <v>12</v>
      </c>
      <c r="AG11" s="165"/>
      <c r="AH11" s="164"/>
      <c r="AI11" s="164"/>
      <c r="AJ11" s="523"/>
      <c r="AK11" s="166">
        <f t="shared" ca="1" si="2"/>
        <v>26.157777777777781</v>
      </c>
      <c r="AL11" s="167">
        <f t="shared" ca="1" si="3"/>
        <v>13.078888888888891</v>
      </c>
      <c r="AM11" s="167">
        <f t="shared" ca="1" si="4"/>
        <v>13.078888888888891</v>
      </c>
      <c r="AN11" s="168"/>
      <c r="AO11" s="168"/>
      <c r="AP11" s="168"/>
      <c r="AQ11" s="169">
        <f t="shared" ca="1" si="5"/>
        <v>26.157777777777781</v>
      </c>
      <c r="AR11" s="170">
        <f ca="1">INDEX('Cap based on indoor unit SZ'!$J$6:$J$21,MATCH(AE11,'Cap based on indoor unit SZ'!$I$6:$I$21))</f>
        <v>13.078888888888891</v>
      </c>
      <c r="AS11" s="170">
        <f ca="1">INDEX('Cap based on indoor unit SZ'!$J$6:$J$21,MATCH(AF11,'Cap based on indoor unit SZ'!$I$6:$I$21))</f>
        <v>13.078888888888891</v>
      </c>
      <c r="AT11" s="171"/>
      <c r="AU11" s="171"/>
      <c r="AV11" s="171"/>
      <c r="AW11" s="169">
        <f t="shared" si="6"/>
        <v>24</v>
      </c>
      <c r="AX11" s="170">
        <v>12</v>
      </c>
      <c r="AY11" s="170">
        <v>12</v>
      </c>
      <c r="AZ11" s="171"/>
      <c r="BA11" s="171"/>
      <c r="BB11" s="171"/>
      <c r="BC11" s="172">
        <f t="shared" ca="1" si="7"/>
        <v>32.046666666666667</v>
      </c>
      <c r="BD11" s="173">
        <f t="shared" ca="1" si="8"/>
        <v>16.023333333333333</v>
      </c>
      <c r="BE11" s="173">
        <f t="shared" ca="1" si="9"/>
        <v>16.023333333333333</v>
      </c>
      <c r="BF11" s="174"/>
      <c r="BG11" s="174"/>
      <c r="BH11" s="174"/>
      <c r="BI11" s="166">
        <f t="shared" ca="1" si="10"/>
        <v>29.890051282051282</v>
      </c>
      <c r="BJ11" s="167">
        <f t="shared" ca="1" si="11"/>
        <v>14.945025641025641</v>
      </c>
      <c r="BK11" s="167">
        <f t="shared" ca="1" si="12"/>
        <v>14.945025641025641</v>
      </c>
      <c r="BL11" s="168"/>
      <c r="BM11" s="168"/>
      <c r="BN11" s="168"/>
      <c r="BO11" s="169">
        <f t="shared" ca="1" si="13"/>
        <v>29.890051282051282</v>
      </c>
      <c r="BP11" s="170">
        <f ca="1">INDEX('Cap based on indoor unit SZ'!$V$43:$V$58,MATCH(AE11,'Cap based on indoor unit SZ'!$U$43:$U$58))</f>
        <v>14.945025641025641</v>
      </c>
      <c r="BQ11" s="170">
        <f ca="1">INDEX('Cap based on indoor unit SZ'!$V$43:$V$58,MATCH(AF11,'Cap based on indoor unit SZ'!$U$43:$U$58))</f>
        <v>14.945025641025641</v>
      </c>
      <c r="BR11" s="171"/>
      <c r="BS11" s="171"/>
      <c r="BT11" s="171"/>
      <c r="BU11" s="175">
        <v>13000</v>
      </c>
      <c r="BV11" s="175">
        <v>13000</v>
      </c>
      <c r="BW11" s="171"/>
      <c r="BX11" s="171"/>
      <c r="BY11" s="171"/>
      <c r="BZ11" s="172">
        <f t="shared" ca="1" si="14"/>
        <v>36.210666666666668</v>
      </c>
      <c r="CA11" s="173">
        <f t="shared" ca="1" si="15"/>
        <v>18.105333333333334</v>
      </c>
      <c r="CB11" s="173">
        <f t="shared" ca="1" si="16"/>
        <v>18.105333333333334</v>
      </c>
      <c r="CC11" s="174"/>
      <c r="CD11" s="174"/>
      <c r="CE11" s="174"/>
      <c r="CF11" s="166">
        <f t="shared" ca="1" si="17"/>
        <v>20.291115148627782</v>
      </c>
      <c r="CG11" s="167">
        <f t="shared" ca="1" si="18"/>
        <v>10.145557574313891</v>
      </c>
      <c r="CH11" s="167">
        <f t="shared" ca="1" si="19"/>
        <v>10.145557574313891</v>
      </c>
      <c r="CI11" s="168"/>
      <c r="CJ11" s="168"/>
      <c r="CK11" s="168"/>
    </row>
    <row r="12" spans="1:89">
      <c r="AC12" s="164" t="s">
        <v>185</v>
      </c>
      <c r="AD12" s="164">
        <v>24</v>
      </c>
      <c r="AE12" s="165">
        <v>12</v>
      </c>
      <c r="AF12" s="165">
        <v>18</v>
      </c>
      <c r="AG12" s="165"/>
      <c r="AH12" s="164"/>
      <c r="AI12" s="164"/>
      <c r="AJ12" s="523"/>
      <c r="AK12" s="166">
        <f t="shared" ca="1" si="2"/>
        <v>32.046666666666667</v>
      </c>
      <c r="AL12" s="167">
        <f t="shared" ca="1" si="3"/>
        <v>12.818666666666667</v>
      </c>
      <c r="AM12" s="167">
        <f t="shared" ca="1" si="4"/>
        <v>19.228000000000002</v>
      </c>
      <c r="AN12" s="168"/>
      <c r="AO12" s="168"/>
      <c r="AP12" s="168"/>
      <c r="AQ12" s="169">
        <f t="shared" ca="1" si="5"/>
        <v>32.900000000000006</v>
      </c>
      <c r="AR12" s="170">
        <f ca="1">INDEX('Cap based on indoor unit SZ'!$J$6:$J$21,MATCH(AE12,'Cap based on indoor unit SZ'!$I$6:$I$21))</f>
        <v>13.078888888888891</v>
      </c>
      <c r="AS12" s="170">
        <f ca="1">INDEX('Cap based on indoor unit SZ'!$J$6:$J$21,MATCH(AF12,'Cap based on indoor unit SZ'!$I$6:$I$21))</f>
        <v>19.821111111111112</v>
      </c>
      <c r="AT12" s="171"/>
      <c r="AU12" s="171"/>
      <c r="AV12" s="171"/>
      <c r="AW12" s="169">
        <f t="shared" si="6"/>
        <v>26</v>
      </c>
      <c r="AX12" s="170">
        <v>10</v>
      </c>
      <c r="AY12" s="170">
        <v>16</v>
      </c>
      <c r="AZ12" s="171"/>
      <c r="BA12" s="171"/>
      <c r="BB12" s="171"/>
      <c r="BC12" s="172">
        <f t="shared" ca="1" si="7"/>
        <v>32.046666666666667</v>
      </c>
      <c r="BD12" s="173">
        <f t="shared" ca="1" si="8"/>
        <v>12.818666666666667</v>
      </c>
      <c r="BE12" s="173">
        <f t="shared" ca="1" si="9"/>
        <v>19.228000000000002</v>
      </c>
      <c r="BF12" s="174"/>
      <c r="BG12" s="174"/>
      <c r="BH12" s="174"/>
      <c r="BI12" s="166">
        <f t="shared" ca="1" si="10"/>
        <v>36.210666666666668</v>
      </c>
      <c r="BJ12" s="167">
        <f t="shared" ca="1" si="11"/>
        <v>14.484266666666667</v>
      </c>
      <c r="BK12" s="167">
        <f t="shared" ca="1" si="12"/>
        <v>21.726400000000002</v>
      </c>
      <c r="BL12" s="168"/>
      <c r="BM12" s="168"/>
      <c r="BN12" s="168"/>
      <c r="BO12" s="169">
        <f t="shared" ca="1" si="13"/>
        <v>39.543846153846154</v>
      </c>
      <c r="BP12" s="170">
        <f ca="1">INDEX('Cap based on indoor unit SZ'!$V$43:$V$58,MATCH(AE12,'Cap based on indoor unit SZ'!$U$43:$U$58))</f>
        <v>14.945025641025641</v>
      </c>
      <c r="BQ12" s="170">
        <f ca="1">INDEX('Cap based on indoor unit SZ'!$V$43:$V$58,MATCH(AF12,'Cap based on indoor unit SZ'!$U$43:$U$58))</f>
        <v>24.598820512820513</v>
      </c>
      <c r="BR12" s="171"/>
      <c r="BS12" s="171"/>
      <c r="BT12" s="171"/>
      <c r="BU12" s="175">
        <v>11200</v>
      </c>
      <c r="BV12" s="175">
        <v>16800</v>
      </c>
      <c r="BW12" s="171"/>
      <c r="BX12" s="171"/>
      <c r="BY12" s="171"/>
      <c r="BZ12" s="172">
        <f t="shared" ca="1" si="14"/>
        <v>36.210666666666668</v>
      </c>
      <c r="CA12" s="173">
        <f t="shared" ca="1" si="15"/>
        <v>14.484266666666667</v>
      </c>
      <c r="CB12" s="173">
        <f t="shared" ca="1" si="16"/>
        <v>21.726400000000002</v>
      </c>
      <c r="CC12" s="174"/>
      <c r="CD12" s="174"/>
      <c r="CE12" s="174"/>
      <c r="CF12" s="166">
        <f t="shared" ca="1" si="17"/>
        <v>24.859244886446454</v>
      </c>
      <c r="CG12" s="167">
        <f t="shared" ca="1" si="18"/>
        <v>9.9436979545785817</v>
      </c>
      <c r="CH12" s="167">
        <f t="shared" ca="1" si="19"/>
        <v>14.915546931867873</v>
      </c>
      <c r="CI12" s="168"/>
      <c r="CJ12" s="168"/>
      <c r="CK12" s="168"/>
    </row>
    <row r="13" spans="1:89">
      <c r="AC13" s="164" t="s">
        <v>237</v>
      </c>
      <c r="AD13" s="164">
        <v>24</v>
      </c>
      <c r="AE13" s="165">
        <v>18</v>
      </c>
      <c r="AF13" s="165">
        <v>18</v>
      </c>
      <c r="AG13" s="165"/>
      <c r="AH13" s="164"/>
      <c r="AI13" s="164"/>
      <c r="AJ13" s="524"/>
      <c r="AK13" s="166">
        <f t="shared" ca="1" si="2"/>
        <v>32.046666666666667</v>
      </c>
      <c r="AL13" s="167">
        <f t="shared" ca="1" si="3"/>
        <v>16.023333333333333</v>
      </c>
      <c r="AM13" s="167">
        <f t="shared" ca="1" si="4"/>
        <v>16.023333333333333</v>
      </c>
      <c r="AN13" s="167"/>
      <c r="AO13" s="168"/>
      <c r="AP13" s="168"/>
      <c r="AQ13" s="169">
        <f t="shared" ca="1" si="5"/>
        <v>39.642222222222223</v>
      </c>
      <c r="AR13" s="170">
        <f ca="1">INDEX('Cap based on indoor unit SZ'!$J$6:$J$21,MATCH(AE13,'Cap based on indoor unit SZ'!$I$6:$I$21))</f>
        <v>19.821111111111112</v>
      </c>
      <c r="AS13" s="170">
        <f ca="1">INDEX('Cap based on indoor unit SZ'!$J$6:$J$21,MATCH(AF13,'Cap based on indoor unit SZ'!$I$6:$I$21))</f>
        <v>19.821111111111112</v>
      </c>
      <c r="AT13" s="170"/>
      <c r="AU13" s="171"/>
      <c r="AV13" s="171"/>
      <c r="AW13" s="169">
        <f t="shared" si="6"/>
        <v>28</v>
      </c>
      <c r="AX13" s="170">
        <v>14</v>
      </c>
      <c r="AY13" s="170">
        <v>14</v>
      </c>
      <c r="AZ13" s="170"/>
      <c r="BA13" s="171"/>
      <c r="BB13" s="171"/>
      <c r="BC13" s="172">
        <f t="shared" ca="1" si="7"/>
        <v>32.046666666666667</v>
      </c>
      <c r="BD13" s="173">
        <f t="shared" ca="1" si="8"/>
        <v>16.023333333333333</v>
      </c>
      <c r="BE13" s="173">
        <f t="shared" ca="1" si="9"/>
        <v>16.023333333333333</v>
      </c>
      <c r="BF13" s="173"/>
      <c r="BG13" s="174"/>
      <c r="BH13" s="174"/>
      <c r="BI13" s="166">
        <f t="shared" ca="1" si="10"/>
        <v>36.210666666666668</v>
      </c>
      <c r="BJ13" s="167">
        <f t="shared" ca="1" si="11"/>
        <v>18.105333333333334</v>
      </c>
      <c r="BK13" s="167">
        <f t="shared" ca="1" si="12"/>
        <v>18.105333333333334</v>
      </c>
      <c r="BL13" s="167"/>
      <c r="BM13" s="168"/>
      <c r="BN13" s="168"/>
      <c r="BO13" s="169">
        <f t="shared" ca="1" si="13"/>
        <v>49.197641025641026</v>
      </c>
      <c r="BP13" s="170">
        <f ca="1">INDEX('Cap based on indoor unit SZ'!$V$43:$V$58,MATCH(AE13,'Cap based on indoor unit SZ'!$U$43:$U$58))</f>
        <v>24.598820512820513</v>
      </c>
      <c r="BQ13" s="170">
        <f ca="1">INDEX('Cap based on indoor unit SZ'!$V$43:$V$58,MATCH(AF13,'Cap based on indoor unit SZ'!$U$43:$U$58))</f>
        <v>24.598820512820513</v>
      </c>
      <c r="BR13" s="170"/>
      <c r="BS13" s="171"/>
      <c r="BT13" s="171"/>
      <c r="BU13" s="175">
        <v>15000</v>
      </c>
      <c r="BV13" s="175">
        <v>15000</v>
      </c>
      <c r="BW13" s="171"/>
      <c r="BX13" s="171"/>
      <c r="BY13" s="171"/>
      <c r="BZ13" s="172">
        <f t="shared" ca="1" si="14"/>
        <v>36.210666666666668</v>
      </c>
      <c r="CA13" s="173">
        <f t="shared" ca="1" si="15"/>
        <v>18.105333333333334</v>
      </c>
      <c r="CB13" s="173">
        <f t="shared" ca="1" si="16"/>
        <v>18.105333333333334</v>
      </c>
      <c r="CC13" s="173"/>
      <c r="CD13" s="174"/>
      <c r="CE13" s="174"/>
      <c r="CF13" s="166">
        <f t="shared" ca="1" si="17"/>
        <v>24.859244886446451</v>
      </c>
      <c r="CG13" s="167">
        <f t="shared" ca="1" si="18"/>
        <v>12.429622443223225</v>
      </c>
      <c r="CH13" s="167">
        <f t="shared" ca="1" si="19"/>
        <v>12.429622443223225</v>
      </c>
      <c r="CI13" s="167"/>
      <c r="CJ13" s="168"/>
      <c r="CK13" s="168"/>
    </row>
    <row r="14" spans="1:89">
      <c r="AC14" s="164" t="s">
        <v>222</v>
      </c>
      <c r="AD14" s="164">
        <v>24</v>
      </c>
      <c r="AE14" s="165">
        <v>9</v>
      </c>
      <c r="AF14" s="165">
        <v>9</v>
      </c>
      <c r="AG14" s="165">
        <v>9</v>
      </c>
      <c r="AH14" s="164"/>
      <c r="AI14" s="164"/>
      <c r="AJ14" s="510">
        <v>3</v>
      </c>
      <c r="AK14" s="166">
        <f t="shared" ca="1" si="2"/>
        <v>31.389333333333333</v>
      </c>
      <c r="AL14" s="167">
        <f ca="1">IF((INDEX($AA$4:$AA$7,MATCH(INDOOR_1,$Z$4:$Z$7))*(INDEX($X$27:$X$46,MATCH($AD14,$W$27:$W$46,1))/(INDEX($AA$4:$AA$7,MATCH(INDOOR_1,$Z$4:$Z$7))+INDEX($AA$4:$AA$7,MATCH(INDOOR_2,$Z$4:$Z$7))+INDEX($AA$4:$AA$7,MATCH(INDOOR_3,$Z$4:$Z$7)))))
&gt;AR14,AR14,
(INDEX($AA$4:$AA$7,MATCH(INDOOR_1,$Z$4:$Z$7))*(INDEX($X$27:$X$46,MATCH($AD14,$W$27:$W$46,1))/(INDEX($AA$4:$AA$7,MATCH(INDOOR_1,$Z$4:$Z$7))+INDEX($AA$4:$AA$7,MATCH(INDOOR_2,$Z$4:$Z$7))+INDEX($AA$4:$AA$7,MATCH(INDOOR_3,$Z$4:$Z$7))))))</f>
        <v>10.463111111111111</v>
      </c>
      <c r="AM14" s="167">
        <f ca="1">IF((INDEX($AA$4:$AA$7,MATCH(INDOOR_2,$Z$4:$Z$7))*(INDEX($X$27:$X$46,MATCH($AD14,$W$27:$W$46,1))/(INDEX($AA$4:$AA$7,MATCH(INDOOR_1,$Z$4:$Z$7))+INDEX($AA$4:$AA$7,MATCH(INDOOR_2,$Z$4:$Z$7))+INDEX($AA$4:$AA$7,MATCH(INDOOR_3,$Z$4:$Z$7)))))
&gt;AS14,AS14,
(INDEX($AA$4:$AA$7,MATCH(INDOOR_2,$Z$4:$Z$7))*(INDEX($X$27:$X$46,MATCH($AD14,$W$27:$W$46,1))/(INDEX($AA$4:$AA$7,MATCH(INDOOR_1,$Z$4:$Z$7))+INDEX($AA$4:$AA$7,MATCH(INDOOR_2,$Z$4:$Z$7))+INDEX($AA$4:$AA$7,MATCH(INDOOR_3,$Z$4:$Z$7))))))</f>
        <v>10.463111111111111</v>
      </c>
      <c r="AN14" s="167">
        <f ca="1">IF((INDEX($AA$4:$AA$7,MATCH(INDOOR_3,$Z$4:$Z$7))*(INDEX($X$27:$X$46,MATCH($AD14,$W$27:$W$46,1))/(INDEX($AA$4:$AA$7,MATCH(INDOOR_1,$Z$4:$Z$7))+INDEX($AA$4:$AA$7,MATCH(INDOOR_2,$Z$4:$Z$7))+INDEX($AA$4:$AA$7,MATCH(INDOOR_3,$Z$4:$Z$7)))))
&gt;AT14,AT14,
(INDEX($AA$4:$AA$7,MATCH(INDOOR_3,$Z$4:$Z$7))*(INDEX($X$27:$X$46,MATCH($AD14,$W$27:$W$46,1))/(INDEX($AA$4:$AA$7,MATCH(INDOOR_1,$Z$4:$Z$7))+INDEX($AA$4:$AA$7,MATCH(INDOOR_2,$Z$4:$Z$7))+INDEX($AA$4:$AA$7,MATCH(INDOOR_3,$Z$4:$Z$7))))))</f>
        <v>10.463111111111111</v>
      </c>
      <c r="AO14" s="178"/>
      <c r="AP14" s="178"/>
      <c r="AQ14" s="169">
        <f t="shared" ca="1" si="5"/>
        <v>31.389333333333333</v>
      </c>
      <c r="AR14" s="170">
        <f ca="1">INDEX('Cap based on indoor unit SZ'!$J$6:$J$21,MATCH(AE14,'Cap based on indoor unit SZ'!$I$6:$I$21))</f>
        <v>10.463111111111111</v>
      </c>
      <c r="AS14" s="170">
        <f ca="1">INDEX('Cap based on indoor unit SZ'!$J$6:$J$21,MATCH(AF14,'Cap based on indoor unit SZ'!$I$6:$I$21))</f>
        <v>10.463111111111111</v>
      </c>
      <c r="AT14" s="170">
        <f ca="1">INDEX('Cap based on indoor unit SZ'!$J$6:$J$21,MATCH(AG14,'Cap based on indoor unit SZ'!$I$6:$I$21))</f>
        <v>10.463111111111111</v>
      </c>
      <c r="AU14" s="179"/>
      <c r="AV14" s="179"/>
      <c r="AW14" s="169">
        <f t="shared" si="6"/>
        <v>27</v>
      </c>
      <c r="AX14" s="170">
        <v>9</v>
      </c>
      <c r="AY14" s="170">
        <v>9</v>
      </c>
      <c r="AZ14" s="170">
        <v>9</v>
      </c>
      <c r="BA14" s="179"/>
      <c r="BB14" s="179"/>
      <c r="BC14" s="172">
        <f t="shared" ca="1" si="7"/>
        <v>32.046666666666667</v>
      </c>
      <c r="BD14" s="173">
        <f t="shared" ref="BD14:BF18" ca="1" si="20">(INDEX($AA$4:$AA$7,MATCH(AE14,$Z$4:$Z$7))*(INDEX($X$27:$X$46,MATCH($AD14,$W$27:$W$46,1))/(INDEX($AA$4:$AA$7,MATCH($AE14,$Z$4:$Z$7))+INDEX($AA$4:$AA$7,MATCH($AF14,$Z$4:$Z$7))+INDEX($AA$4:$AA$7,MATCH($AG14,$Z$4:$Z$7)))))</f>
        <v>10.682222222222222</v>
      </c>
      <c r="BE14" s="173">
        <f t="shared" ca="1" si="20"/>
        <v>10.682222222222222</v>
      </c>
      <c r="BF14" s="173">
        <f t="shared" ca="1" si="20"/>
        <v>10.682222222222222</v>
      </c>
      <c r="BG14" s="180"/>
      <c r="BH14" s="180"/>
      <c r="BI14" s="166">
        <f t="shared" ca="1" si="10"/>
        <v>35.868061538461532</v>
      </c>
      <c r="BJ14" s="167">
        <f ca="1">IF((INDEX($AA$4:$AA$7,MATCH(INDOOR_1,$Z$4:$Z$7))*(INDEX($X$118:$X$137,MATCH($AD14,$W$118:$W$137,1))/(INDEX($AA$4:$AA$7,MATCH(INDOOR_1,$Z$4:$Z$7))+INDEX($AA$4:$AA$7,MATCH(INDOOR_2,$Z$4:$Z$7))+INDEX($AA$4:$AA$7,MATCH(INDOOR_3,$Z$4:$Z$7)))))
&gt;BP14,BP14,
(INDEX($AA$4:$AA$7,MATCH(INDOOR_1,$Z$4:$Z$7))*(INDEX($X$118:$X$137,MATCH($AD14,$W$118:$W$137,1))/(INDEX($AA$4:$AA$7,MATCH(INDOOR_1,$Z$4:$Z$7))+INDEX($AA$4:$AA$7,MATCH(INDOOR_2,$Z$4:$Z$7))+INDEX($AA$4:$AA$7,MATCH(INDOOR_3,$Z$4:$Z$7))))))</f>
        <v>11.956020512820512</v>
      </c>
      <c r="BK14" s="167">
        <f ca="1">IF((INDEX($AA$4:$AA$7,MATCH(INDOOR_2,$Z$4:$Z$7))*(INDEX($X$118:$X$137,MATCH($AD14,$W$118:$W$137,1))/(INDEX($AA$4:$AA$7,MATCH(INDOOR_1,$Z$4:$Z$7))+INDEX($AA$4:$AA$7,MATCH(INDOOR_2,$Z$4:$Z$7))+INDEX($AA$4:$AA$7,MATCH(INDOOR_3,$Z$4:$Z$7)))))
&gt;BQ14,BQ14,
(INDEX($AA$4:$AA$7,MATCH(INDOOR_2,$Z$4:$Z$7))*(INDEX($X$118:$X$137,MATCH($AD14,$W$118:$W$137,1))/(INDEX($AA$4:$AA$7,MATCH(INDOOR_1,$Z$4:$Z$7))+INDEX($AA$4:$AA$7,MATCH(INDOOR_2,$Z$4:$Z$7))+INDEX($AA$4:$AA$7,MATCH(INDOOR_3,$Z$4:$Z$7))))))</f>
        <v>11.956020512820512</v>
      </c>
      <c r="BL14" s="167">
        <f ca="1">IF((INDEX($AA$4:$AA$7,MATCH(INDOOR_3,$Z$4:$Z$7))*(INDEX($X$118:$X$137,MATCH($AD14,$W$118:$W$137,1))/(INDEX($AA$4:$AA$7,MATCH(INDOOR_1,$Z$4:$Z$7))+INDEX($AA$4:$AA$7,MATCH(INDOOR_2,$Z$4:$Z$7))+INDEX($AA$4:$AA$7,MATCH(INDOOR_3,$Z$4:$Z$7)))))
&gt;BR14,BR14,
(INDEX($AA$4:$AA$7,MATCH(INDOOR_3,$Z$4:$Z$7))*(INDEX($X$118:$X$137,MATCH($AD14,$W$118:$W$137,1))/(INDEX($AA$4:$AA$7,MATCH(INDOOR_1,$Z$4:$Z$7))+INDEX($AA$4:$AA$7,MATCH(INDOOR_2,$Z$4:$Z$7))+INDEX($AA$4:$AA$7,MATCH(INDOOR_3,$Z$4:$Z$7))))))</f>
        <v>11.956020512820512</v>
      </c>
      <c r="BM14" s="178"/>
      <c r="BN14" s="178"/>
      <c r="BO14" s="169">
        <f t="shared" ca="1" si="13"/>
        <v>35.868061538461532</v>
      </c>
      <c r="BP14" s="170">
        <f ca="1">INDEX('Cap based on indoor unit SZ'!$V$43:$V$58,MATCH(AE14,'Cap based on indoor unit SZ'!$U$43:$U$58))</f>
        <v>11.956020512820512</v>
      </c>
      <c r="BQ14" s="170">
        <f ca="1">INDEX('Cap based on indoor unit SZ'!$V$43:$V$58,MATCH(AF14,'Cap based on indoor unit SZ'!$U$43:$U$58))</f>
        <v>11.956020512820512</v>
      </c>
      <c r="BR14" s="170">
        <f ca="1">INDEX('Cap based on indoor unit SZ'!$V$43:$V$58,MATCH(AG14,'Cap based on indoor unit SZ'!$U$43:$U$58))</f>
        <v>11.956020512820512</v>
      </c>
      <c r="BS14" s="179"/>
      <c r="BT14" s="179"/>
      <c r="BU14" s="175">
        <v>9500</v>
      </c>
      <c r="BV14" s="175">
        <v>9500</v>
      </c>
      <c r="BW14" s="175">
        <v>9500</v>
      </c>
      <c r="BX14" s="179"/>
      <c r="BY14" s="179"/>
      <c r="BZ14" s="172">
        <f t="shared" ca="1" si="14"/>
        <v>36.210666666666668</v>
      </c>
      <c r="CA14" s="173">
        <f ca="1">(INDEX($AA$4:$AA$7,MATCH(INDOOR_1,$Z$4:$Z$7))*(INDEX($X$118:$X$137,MATCH($AD14,$W$118:$W$137,1))/(INDEX($AA$4:$AA$7,MATCH(INDOOR_1,$Z$4:$Z$7))+INDEX($AA$4:$AA$7,MATCH(INDOOR_2,$Z$4:$Z$7))+INDEX($AA$4:$AA$7,MATCH(INDOOR_3,$Z$4:$Z$7)))))</f>
        <v>12.070222222222222</v>
      </c>
      <c r="CB14" s="173">
        <f ca="1">(INDEX($AA$4:$AA$7,MATCH(INDOOR_2,$Z$4:$Z$7))*(INDEX($X$118:$X$137,MATCH($AD14,$W$118:$W$137,1))/(INDEX($AA$4:$AA$7,MATCH(INDOOR_1,$Z$4:$Z$7))+INDEX($AA$4:$AA$7,MATCH(INDOOR_2,$Z$4:$Z$7))+INDEX($AA$4:$AA$7,MATCH(INDOOR_3,$Z$4:$Z$7)))))</f>
        <v>12.070222222222222</v>
      </c>
      <c r="CC14" s="173">
        <f ca="1">(INDEX($AA$4:$AA$7,MATCH(INDOOR_3,$Z$4:$Z$7))*(INDEX($X$118:$X$137,MATCH($AD14,$W$118:$W$137,1))/(INDEX($AA$4:$AA$7,MATCH(INDOOR_1,$Z$4:$Z$7))+INDEX($AA$4:$AA$7,MATCH(INDOOR_2,$Z$4:$Z$7))+INDEX($AA$4:$AA$7,MATCH(INDOOR_3,$Z$4:$Z$7)))))</f>
        <v>12.070222222222222</v>
      </c>
      <c r="CD14" s="180"/>
      <c r="CE14" s="180"/>
      <c r="CF14" s="166">
        <f t="shared" ca="1" si="17"/>
        <v>24.349338178353332</v>
      </c>
      <c r="CG14" s="167">
        <f t="shared" ca="1" si="18"/>
        <v>8.1164460594511105</v>
      </c>
      <c r="CH14" s="167">
        <f t="shared" ca="1" si="19"/>
        <v>8.1164460594511105</v>
      </c>
      <c r="CI14" s="167">
        <f ca="1">AN14*(INDEX($X$67:$X$86,MATCH($AD14,$W$67:$W$86,1)))</f>
        <v>8.1164460594511105</v>
      </c>
      <c r="CJ14" s="178"/>
      <c r="CK14" s="178"/>
    </row>
    <row r="15" spans="1:89">
      <c r="AC15" s="164" t="s">
        <v>219</v>
      </c>
      <c r="AD15" s="164">
        <v>24</v>
      </c>
      <c r="AE15" s="165">
        <v>9</v>
      </c>
      <c r="AF15" s="165">
        <v>9</v>
      </c>
      <c r="AG15" s="165">
        <v>12</v>
      </c>
      <c r="AH15" s="164"/>
      <c r="AI15" s="164"/>
      <c r="AJ15" s="501"/>
      <c r="AK15" s="166">
        <f t="shared" ca="1" si="2"/>
        <v>32.046666666666667</v>
      </c>
      <c r="AL15" s="167">
        <f ca="1">IF((INDEX($AA$4:$AA$7,MATCH(INDOOR_1,$Z$4:$Z$7))*(INDEX($X$27:$X$46,MATCH($AD15,$W$27:$W$46,1))/(INDEX($AA$4:$AA$7,MATCH(INDOOR_1,$Z$4:$Z$7))+INDEX($AA$4:$AA$7,MATCH(INDOOR_2,$Z$4:$Z$7))+INDEX($AA$4:$AA$7,MATCH(INDOOR_3,$Z$4:$Z$7)))))
&gt;AR15,AR15,
(INDEX($AA$4:$AA$7,MATCH(INDOOR_1,$Z$4:$Z$7))*(INDEX($X$27:$X$46,MATCH($AD15,$W$27:$W$46,1))/(INDEX($AA$4:$AA$7,MATCH(INDOOR_1,$Z$4:$Z$7))+INDEX($AA$4:$AA$7,MATCH(INDOOR_2,$Z$4:$Z$7))+INDEX($AA$4:$AA$7,MATCH(INDOOR_3,$Z$4:$Z$7))))))</f>
        <v>9.6140000000000008</v>
      </c>
      <c r="AM15" s="167">
        <f ca="1">IF((INDEX($AA$4:$AA$7,MATCH(INDOOR_2,$Z$4:$Z$7))*(INDEX($X$27:$X$46,MATCH($AD15,$W$27:$W$46,1))/(INDEX($AA$4:$AA$7,MATCH(INDOOR_1,$Z$4:$Z$7))+INDEX($AA$4:$AA$7,MATCH(INDOOR_2,$Z$4:$Z$7))+INDEX($AA$4:$AA$7,MATCH(INDOOR_3,$Z$4:$Z$7)))))
&gt;AS15,AS15,
(INDEX($AA$4:$AA$7,MATCH(INDOOR_2,$Z$4:$Z$7))*(INDEX($X$27:$X$46,MATCH($AD15,$W$27:$W$46,1))/(INDEX($AA$4:$AA$7,MATCH(INDOOR_1,$Z$4:$Z$7))+INDEX($AA$4:$AA$7,MATCH(INDOOR_2,$Z$4:$Z$7))+INDEX($AA$4:$AA$7,MATCH(INDOOR_3,$Z$4:$Z$7))))))</f>
        <v>9.6140000000000008</v>
      </c>
      <c r="AN15" s="167">
        <f ca="1">IF((INDEX($AA$4:$AA$7,MATCH(INDOOR_3,$Z$4:$Z$7))*(INDEX($X$27:$X$46,MATCH($AD15,$W$27:$W$46,1))/(INDEX($AA$4:$AA$7,MATCH(INDOOR_1,$Z$4:$Z$7))+INDEX($AA$4:$AA$7,MATCH(INDOOR_2,$Z$4:$Z$7))+INDEX($AA$4:$AA$7,MATCH(INDOOR_3,$Z$4:$Z$7)))))
&gt;AT15,AT15,
(INDEX($AA$4:$AA$7,MATCH(INDOOR_3,$Z$4:$Z$7))*(INDEX($X$27:$X$46,MATCH($AD15,$W$27:$W$46,1))/(INDEX($AA$4:$AA$7,MATCH(INDOOR_1,$Z$4:$Z$7))+INDEX($AA$4:$AA$7,MATCH(INDOOR_2,$Z$4:$Z$7))+INDEX($AA$4:$AA$7,MATCH(INDOOR_3,$Z$4:$Z$7))))))</f>
        <v>12.818666666666667</v>
      </c>
      <c r="AO15" s="178"/>
      <c r="AP15" s="178"/>
      <c r="AQ15" s="169">
        <f t="shared" ca="1" si="5"/>
        <v>34.005111111111113</v>
      </c>
      <c r="AR15" s="170">
        <f ca="1">INDEX('Cap based on indoor unit SZ'!$J$6:$J$21,MATCH(AE15,'Cap based on indoor unit SZ'!$I$6:$I$21))</f>
        <v>10.463111111111111</v>
      </c>
      <c r="AS15" s="170">
        <f ca="1">INDEX('Cap based on indoor unit SZ'!$J$6:$J$21,MATCH(AF15,'Cap based on indoor unit SZ'!$I$6:$I$21))</f>
        <v>10.463111111111111</v>
      </c>
      <c r="AT15" s="170">
        <f ca="1">INDEX('Cap based on indoor unit SZ'!$J$6:$J$21,MATCH(AG15,'Cap based on indoor unit SZ'!$I$6:$I$21))</f>
        <v>13.078888888888891</v>
      </c>
      <c r="AU15" s="179"/>
      <c r="AV15" s="179"/>
      <c r="AW15" s="169">
        <f t="shared" si="6"/>
        <v>29.000999999999998</v>
      </c>
      <c r="AX15" s="170">
        <v>8.6669999999999998</v>
      </c>
      <c r="AY15" s="170">
        <v>8.6669999999999998</v>
      </c>
      <c r="AZ15" s="170">
        <v>11.667</v>
      </c>
      <c r="BA15" s="179"/>
      <c r="BB15" s="179"/>
      <c r="BC15" s="172">
        <f t="shared" ca="1" si="7"/>
        <v>32.046666666666667</v>
      </c>
      <c r="BD15" s="173">
        <f t="shared" ca="1" si="20"/>
        <v>9.6140000000000008</v>
      </c>
      <c r="BE15" s="173">
        <f t="shared" ca="1" si="20"/>
        <v>9.6140000000000008</v>
      </c>
      <c r="BF15" s="173">
        <f t="shared" ca="1" si="20"/>
        <v>12.818666666666667</v>
      </c>
      <c r="BG15" s="180"/>
      <c r="BH15" s="180"/>
      <c r="BI15" s="166">
        <f t="shared" ca="1" si="10"/>
        <v>36.210666666666668</v>
      </c>
      <c r="BJ15" s="167">
        <f ca="1">IF((INDEX($AA$4:$AA$7,MATCH(INDOOR_1,$Z$4:$Z$7))*(INDEX($X$118:$X$137,MATCH($AD15,$W$118:$W$137,1))/(INDEX($AA$4:$AA$7,MATCH(INDOOR_1,$Z$4:$Z$7))+INDEX($AA$4:$AA$7,MATCH(INDOOR_2,$Z$4:$Z$7))+INDEX($AA$4:$AA$7,MATCH(INDOOR_3,$Z$4:$Z$7)))))
&gt;BP15,BP15,
(INDEX($AA$4:$AA$7,MATCH(INDOOR_1,$Z$4:$Z$7))*(INDEX($X$118:$X$137,MATCH($AD15,$W$118:$W$137,1))/(INDEX($AA$4:$AA$7,MATCH(INDOOR_1,$Z$4:$Z$7))+INDEX($AA$4:$AA$7,MATCH(INDOOR_2,$Z$4:$Z$7))+INDEX($AA$4:$AA$7,MATCH(INDOOR_3,$Z$4:$Z$7))))))</f>
        <v>10.863200000000001</v>
      </c>
      <c r="BK15" s="167">
        <f ca="1">IF((INDEX($AA$4:$AA$7,MATCH(INDOOR_2,$Z$4:$Z$7))*(INDEX($X$118:$X$137,MATCH($AD15,$W$118:$W$137,1))/(INDEX($AA$4:$AA$7,MATCH(INDOOR_1,$Z$4:$Z$7))+INDEX($AA$4:$AA$7,MATCH(INDOOR_2,$Z$4:$Z$7))+INDEX($AA$4:$AA$7,MATCH(INDOOR_3,$Z$4:$Z$7)))))
&gt;BQ15,BQ15,
(INDEX($AA$4:$AA$7,MATCH(INDOOR_2,$Z$4:$Z$7))*(INDEX($X$118:$X$137,MATCH($AD15,$W$118:$W$137,1))/(INDEX($AA$4:$AA$7,MATCH(INDOOR_1,$Z$4:$Z$7))+INDEX($AA$4:$AA$7,MATCH(INDOOR_2,$Z$4:$Z$7))+INDEX($AA$4:$AA$7,MATCH(INDOOR_3,$Z$4:$Z$7))))))</f>
        <v>10.863200000000001</v>
      </c>
      <c r="BL15" s="167">
        <f ca="1">IF((INDEX($AA$4:$AA$7,MATCH(INDOOR_3,$Z$4:$Z$7))*(INDEX($X$118:$X$137,MATCH($AD15,$W$118:$W$137,1))/(INDEX($AA$4:$AA$7,MATCH(INDOOR_1,$Z$4:$Z$7))+INDEX($AA$4:$AA$7,MATCH(INDOOR_2,$Z$4:$Z$7))+INDEX($AA$4:$AA$7,MATCH(INDOOR_3,$Z$4:$Z$7)))))
&gt;BR15,BR15,
(INDEX($AA$4:$AA$7,MATCH(INDOOR_3,$Z$4:$Z$7))*(INDEX($X$118:$X$137,MATCH($AD15,$W$118:$W$137,1))/(INDEX($AA$4:$AA$7,MATCH(INDOOR_1,$Z$4:$Z$7))+INDEX($AA$4:$AA$7,MATCH(INDOOR_2,$Z$4:$Z$7))+INDEX($AA$4:$AA$7,MATCH(INDOOR_3,$Z$4:$Z$7))))))</f>
        <v>14.484266666666667</v>
      </c>
      <c r="BM15" s="178"/>
      <c r="BN15" s="178"/>
      <c r="BO15" s="169">
        <f t="shared" ca="1" si="13"/>
        <v>38.857066666666668</v>
      </c>
      <c r="BP15" s="170">
        <f ca="1">INDEX('Cap based on indoor unit SZ'!$V$43:$V$58,MATCH(AE15,'Cap based on indoor unit SZ'!$U$43:$U$58))</f>
        <v>11.956020512820512</v>
      </c>
      <c r="BQ15" s="170">
        <f ca="1">INDEX('Cap based on indoor unit SZ'!$V$43:$V$58,MATCH(AF15,'Cap based on indoor unit SZ'!$U$43:$U$58))</f>
        <v>11.956020512820512</v>
      </c>
      <c r="BR15" s="170">
        <f ca="1">INDEX('Cap based on indoor unit SZ'!$V$43:$V$58,MATCH(AG15,'Cap based on indoor unit SZ'!$U$43:$U$58))</f>
        <v>14.945025641025641</v>
      </c>
      <c r="BS15" s="179"/>
      <c r="BT15" s="179"/>
      <c r="BU15" s="175">
        <v>9500</v>
      </c>
      <c r="BV15" s="175">
        <v>9500</v>
      </c>
      <c r="BW15" s="175">
        <v>12000</v>
      </c>
      <c r="BX15" s="179"/>
      <c r="BY15" s="179"/>
      <c r="BZ15" s="172">
        <f t="shared" ca="1" si="14"/>
        <v>36.210666666666668</v>
      </c>
      <c r="CA15" s="173">
        <f ca="1">(INDEX($AA$4:$AA$7,MATCH(INDOOR_1,$Z$4:$Z$7))*(INDEX($X$118:$X$137,MATCH($AD15,$W$118:$W$137,1))/(INDEX($AA$4:$AA$7,MATCH(INDOOR_1,$Z$4:$Z$7))+INDEX($AA$4:$AA$7,MATCH(INDOOR_2,$Z$4:$Z$7))+INDEX($AA$4:$AA$7,MATCH(INDOOR_3,$Z$4:$Z$7)))))</f>
        <v>10.863200000000001</v>
      </c>
      <c r="CB15" s="173">
        <f ca="1">(INDEX($AA$4:$AA$7,MATCH(INDOOR_2,$Z$4:$Z$7))*(INDEX($X$118:$X$137,MATCH($AD15,$W$118:$W$137,1))/(INDEX($AA$4:$AA$7,MATCH(INDOOR_1,$Z$4:$Z$7))+INDEX($AA$4:$AA$7,MATCH(INDOOR_2,$Z$4:$Z$7))+INDEX($AA$4:$AA$7,MATCH(INDOOR_3,$Z$4:$Z$7)))))</f>
        <v>10.863200000000001</v>
      </c>
      <c r="CC15" s="173">
        <f ca="1">(INDEX($AA$4:$AA$7,MATCH(INDOOR_3,$Z$4:$Z$7))*(INDEX($X$118:$X$137,MATCH($AD15,$W$118:$W$137,1))/(INDEX($AA$4:$AA$7,MATCH(INDOOR_1,$Z$4:$Z$7))+INDEX($AA$4:$AA$7,MATCH(INDOOR_2,$Z$4:$Z$7))+INDEX($AA$4:$AA$7,MATCH(INDOOR_3,$Z$4:$Z$7)))))</f>
        <v>14.484266666666667</v>
      </c>
      <c r="CD15" s="180"/>
      <c r="CE15" s="180"/>
      <c r="CF15" s="166">
        <f t="shared" ca="1" si="17"/>
        <v>24.859244886446454</v>
      </c>
      <c r="CG15" s="167">
        <f t="shared" ca="1" si="18"/>
        <v>7.4577734659339363</v>
      </c>
      <c r="CH15" s="167">
        <f t="shared" ca="1" si="19"/>
        <v>7.4577734659339363</v>
      </c>
      <c r="CI15" s="167">
        <f ca="1">AN15*(INDEX($X$67:$X$86,MATCH($AD15,$W$67:$W$86,1)))</f>
        <v>9.9436979545785817</v>
      </c>
      <c r="CJ15" s="178"/>
      <c r="CK15" s="178"/>
    </row>
    <row r="16" spans="1:89">
      <c r="AC16" s="164" t="s">
        <v>178</v>
      </c>
      <c r="AD16" s="164">
        <v>24</v>
      </c>
      <c r="AE16" s="165">
        <v>9</v>
      </c>
      <c r="AF16" s="165">
        <v>9</v>
      </c>
      <c r="AG16" s="165">
        <v>18</v>
      </c>
      <c r="AH16" s="164"/>
      <c r="AI16" s="164"/>
      <c r="AJ16" s="501"/>
      <c r="AK16" s="166">
        <f t="shared" ca="1" si="2"/>
        <v>32.046666666666667</v>
      </c>
      <c r="AL16" s="167">
        <f ca="1">IF((INDEX($AA$4:$AA$7,MATCH(INDOOR_1,$Z$4:$Z$7))*(INDEX($X$27:$X$46,MATCH($AD16,$W$27:$W$46,1))/(INDEX($AA$4:$AA$7,MATCH(INDOOR_1,$Z$4:$Z$7))+INDEX($AA$4:$AA$7,MATCH(INDOOR_2,$Z$4:$Z$7))+INDEX($AA$4:$AA$7,MATCH(INDOOR_3,$Z$4:$Z$7)))))
&gt;AR16,AR16,
(INDEX($AA$4:$AA$7,MATCH(INDOOR_1,$Z$4:$Z$7))*(INDEX($X$27:$X$46,MATCH($AD16,$W$27:$W$46,1))/(INDEX($AA$4:$AA$7,MATCH(INDOOR_1,$Z$4:$Z$7))+INDEX($AA$4:$AA$7,MATCH(INDOOR_2,$Z$4:$Z$7))+INDEX($AA$4:$AA$7,MATCH(INDOOR_3,$Z$4:$Z$7))))))</f>
        <v>8.0116666666666667</v>
      </c>
      <c r="AM16" s="167">
        <f ca="1">IF((INDEX($AA$4:$AA$7,MATCH(INDOOR_2,$Z$4:$Z$7))*(INDEX($X$27:$X$46,MATCH($AD16,$W$27:$W$46,1))/(INDEX($AA$4:$AA$7,MATCH(INDOOR_1,$Z$4:$Z$7))+INDEX($AA$4:$AA$7,MATCH(INDOOR_2,$Z$4:$Z$7))+INDEX($AA$4:$AA$7,MATCH(INDOOR_3,$Z$4:$Z$7)))))
&gt;AS16,AS16,
(INDEX($AA$4:$AA$7,MATCH(INDOOR_2,$Z$4:$Z$7))*(INDEX($X$27:$X$46,MATCH($AD16,$W$27:$W$46,1))/(INDEX($AA$4:$AA$7,MATCH(INDOOR_1,$Z$4:$Z$7))+INDEX($AA$4:$AA$7,MATCH(INDOOR_2,$Z$4:$Z$7))+INDEX($AA$4:$AA$7,MATCH(INDOOR_3,$Z$4:$Z$7))))))</f>
        <v>8.0116666666666667</v>
      </c>
      <c r="AN16" s="167">
        <f ca="1">IF((INDEX($AA$4:$AA$7,MATCH(INDOOR_3,$Z$4:$Z$7))*(INDEX($X$27:$X$46,MATCH($AD16,$W$27:$W$46,1))/(INDEX($AA$4:$AA$7,MATCH(INDOOR_1,$Z$4:$Z$7))+INDEX($AA$4:$AA$7,MATCH(INDOOR_2,$Z$4:$Z$7))+INDEX($AA$4:$AA$7,MATCH(INDOOR_3,$Z$4:$Z$7)))))
&gt;AT16,AT16,
(INDEX($AA$4:$AA$7,MATCH(INDOOR_3,$Z$4:$Z$7))*(INDEX($X$27:$X$46,MATCH($AD16,$W$27:$W$46,1))/(INDEX($AA$4:$AA$7,MATCH(INDOOR_1,$Z$4:$Z$7))+INDEX($AA$4:$AA$7,MATCH(INDOOR_2,$Z$4:$Z$7))+INDEX($AA$4:$AA$7,MATCH(INDOOR_3,$Z$4:$Z$7))))))</f>
        <v>16.023333333333333</v>
      </c>
      <c r="AO16" s="178"/>
      <c r="AP16" s="178"/>
      <c r="AQ16" s="169">
        <f t="shared" ca="1" si="5"/>
        <v>40.74733333333333</v>
      </c>
      <c r="AR16" s="170">
        <f ca="1">INDEX('Cap based on indoor unit SZ'!$J$6:$J$21,MATCH(AE16,'Cap based on indoor unit SZ'!$I$6:$I$21))</f>
        <v>10.463111111111111</v>
      </c>
      <c r="AS16" s="170">
        <f ca="1">INDEX('Cap based on indoor unit SZ'!$J$6:$J$21,MATCH(AF16,'Cap based on indoor unit SZ'!$I$6:$I$21))</f>
        <v>10.463111111111111</v>
      </c>
      <c r="AT16" s="170">
        <f ca="1">INDEX('Cap based on indoor unit SZ'!$J$6:$J$21,MATCH(AG16,'Cap based on indoor unit SZ'!$I$6:$I$21))</f>
        <v>19.821111111111112</v>
      </c>
      <c r="AU16" s="179"/>
      <c r="AV16" s="179"/>
      <c r="AW16" s="169">
        <f t="shared" si="6"/>
        <v>29.999000000000002</v>
      </c>
      <c r="AX16" s="170">
        <v>8.3330000000000002</v>
      </c>
      <c r="AY16" s="170">
        <v>8.3330000000000002</v>
      </c>
      <c r="AZ16" s="170">
        <v>13.333</v>
      </c>
      <c r="BA16" s="179"/>
      <c r="BB16" s="179"/>
      <c r="BC16" s="172">
        <f t="shared" ca="1" si="7"/>
        <v>32.046666666666667</v>
      </c>
      <c r="BD16" s="173">
        <f t="shared" ca="1" si="20"/>
        <v>8.0116666666666667</v>
      </c>
      <c r="BE16" s="173">
        <f t="shared" ca="1" si="20"/>
        <v>8.0116666666666667</v>
      </c>
      <c r="BF16" s="173">
        <f t="shared" ca="1" si="20"/>
        <v>16.023333333333333</v>
      </c>
      <c r="BG16" s="180"/>
      <c r="BH16" s="180"/>
      <c r="BI16" s="166">
        <f t="shared" ca="1" si="10"/>
        <v>36.210666666666668</v>
      </c>
      <c r="BJ16" s="167">
        <f ca="1">IF((INDEX($AA$4:$AA$7,MATCH(INDOOR_1,$Z$4:$Z$7))*(INDEX($X$118:$X$137,MATCH($AD16,$W$118:$W$137,1))/(INDEX($AA$4:$AA$7,MATCH(INDOOR_1,$Z$4:$Z$7))+INDEX($AA$4:$AA$7,MATCH(INDOOR_2,$Z$4:$Z$7))+INDEX($AA$4:$AA$7,MATCH(INDOOR_3,$Z$4:$Z$7)))))
&gt;BP16,BP16,
(INDEX($AA$4:$AA$7,MATCH(INDOOR_1,$Z$4:$Z$7))*(INDEX($X$118:$X$137,MATCH($AD16,$W$118:$W$137,1))/(INDEX($AA$4:$AA$7,MATCH(INDOOR_1,$Z$4:$Z$7))+INDEX($AA$4:$AA$7,MATCH(INDOOR_2,$Z$4:$Z$7))+INDEX($AA$4:$AA$7,MATCH(INDOOR_3,$Z$4:$Z$7))))))</f>
        <v>9.0526666666666671</v>
      </c>
      <c r="BK16" s="167">
        <f ca="1">IF((INDEX($AA$4:$AA$7,MATCH(INDOOR_2,$Z$4:$Z$7))*(INDEX($X$118:$X$137,MATCH($AD16,$W$118:$W$137,1))/(INDEX($AA$4:$AA$7,MATCH(INDOOR_1,$Z$4:$Z$7))+INDEX($AA$4:$AA$7,MATCH(INDOOR_2,$Z$4:$Z$7))+INDEX($AA$4:$AA$7,MATCH(INDOOR_3,$Z$4:$Z$7)))))
&gt;BQ16,BQ16,
(INDEX($AA$4:$AA$7,MATCH(INDOOR_2,$Z$4:$Z$7))*(INDEX($X$118:$X$137,MATCH($AD16,$W$118:$W$137,1))/(INDEX($AA$4:$AA$7,MATCH(INDOOR_1,$Z$4:$Z$7))+INDEX($AA$4:$AA$7,MATCH(INDOOR_2,$Z$4:$Z$7))+INDEX($AA$4:$AA$7,MATCH(INDOOR_3,$Z$4:$Z$7))))))</f>
        <v>9.0526666666666671</v>
      </c>
      <c r="BL16" s="167">
        <f ca="1">IF((INDEX($AA$4:$AA$7,MATCH(INDOOR_3,$Z$4:$Z$7))*(INDEX($X$118:$X$137,MATCH($AD16,$W$118:$W$137,1))/(INDEX($AA$4:$AA$7,MATCH(INDOOR_1,$Z$4:$Z$7))+INDEX($AA$4:$AA$7,MATCH(INDOOR_2,$Z$4:$Z$7))+INDEX($AA$4:$AA$7,MATCH(INDOOR_3,$Z$4:$Z$7)))))
&gt;BR16,BR16,
(INDEX($AA$4:$AA$7,MATCH(INDOOR_3,$Z$4:$Z$7))*(INDEX($X$118:$X$137,MATCH($AD16,$W$118:$W$137,1))/(INDEX($AA$4:$AA$7,MATCH(INDOOR_1,$Z$4:$Z$7))+INDEX($AA$4:$AA$7,MATCH(INDOOR_2,$Z$4:$Z$7))+INDEX($AA$4:$AA$7,MATCH(INDOOR_3,$Z$4:$Z$7))))))</f>
        <v>18.105333333333334</v>
      </c>
      <c r="BM16" s="178"/>
      <c r="BN16" s="178"/>
      <c r="BO16" s="169">
        <f t="shared" ca="1" si="13"/>
        <v>48.51086153846154</v>
      </c>
      <c r="BP16" s="170">
        <f ca="1">INDEX('Cap based on indoor unit SZ'!$V$43:$V$58,MATCH(AE16,'Cap based on indoor unit SZ'!$U$43:$U$58))</f>
        <v>11.956020512820512</v>
      </c>
      <c r="BQ16" s="170">
        <f ca="1">INDEX('Cap based on indoor unit SZ'!$V$43:$V$58,MATCH(AF16,'Cap based on indoor unit SZ'!$U$43:$U$58))</f>
        <v>11.956020512820512</v>
      </c>
      <c r="BR16" s="170">
        <f ca="1">INDEX('Cap based on indoor unit SZ'!$V$43:$V$58,MATCH(AG16,'Cap based on indoor unit SZ'!$U$43:$U$58))</f>
        <v>24.598820512820513</v>
      </c>
      <c r="BS16" s="179"/>
      <c r="BT16" s="179"/>
      <c r="BU16" s="175">
        <v>9000</v>
      </c>
      <c r="BV16" s="175">
        <v>9000</v>
      </c>
      <c r="BW16" s="175">
        <v>14000</v>
      </c>
      <c r="BX16" s="179"/>
      <c r="BY16" s="179"/>
      <c r="BZ16" s="172">
        <f t="shared" ca="1" si="14"/>
        <v>36.210666666666668</v>
      </c>
      <c r="CA16" s="173">
        <f ca="1">(INDEX($AA$4:$AA$7,MATCH(INDOOR_1,$Z$4:$Z$7))*(INDEX($X$118:$X$137,MATCH($AD16,$W$118:$W$137,1))/(INDEX($AA$4:$AA$7,MATCH(INDOOR_1,$Z$4:$Z$7))+INDEX($AA$4:$AA$7,MATCH(INDOOR_2,$Z$4:$Z$7))+INDEX($AA$4:$AA$7,MATCH(INDOOR_3,$Z$4:$Z$7)))))</f>
        <v>9.0526666666666671</v>
      </c>
      <c r="CB16" s="173">
        <f ca="1">(INDEX($AA$4:$AA$7,MATCH(INDOOR_2,$Z$4:$Z$7))*(INDEX($X$118:$X$137,MATCH($AD16,$W$118:$W$137,1))/(INDEX($AA$4:$AA$7,MATCH(INDOOR_1,$Z$4:$Z$7))+INDEX($AA$4:$AA$7,MATCH(INDOOR_2,$Z$4:$Z$7))+INDEX($AA$4:$AA$7,MATCH(INDOOR_3,$Z$4:$Z$7)))))</f>
        <v>9.0526666666666671</v>
      </c>
      <c r="CC16" s="173">
        <f ca="1">(INDEX($AA$4:$AA$7,MATCH(INDOOR_3,$Z$4:$Z$7))*(INDEX($X$118:$X$137,MATCH($AD16,$W$118:$W$137,1))/(INDEX($AA$4:$AA$7,MATCH(INDOOR_1,$Z$4:$Z$7))+INDEX($AA$4:$AA$7,MATCH(INDOOR_2,$Z$4:$Z$7))+INDEX($AA$4:$AA$7,MATCH(INDOOR_3,$Z$4:$Z$7)))))</f>
        <v>18.105333333333334</v>
      </c>
      <c r="CD16" s="180"/>
      <c r="CE16" s="180"/>
      <c r="CF16" s="166">
        <f t="shared" ca="1" si="17"/>
        <v>24.859244886446451</v>
      </c>
      <c r="CG16" s="167">
        <f t="shared" ca="1" si="18"/>
        <v>6.2148112216116127</v>
      </c>
      <c r="CH16" s="167">
        <f t="shared" ca="1" si="19"/>
        <v>6.2148112216116127</v>
      </c>
      <c r="CI16" s="167">
        <f ca="1">AN16*(INDEX($X$67:$X$86,MATCH($AD16,$W$67:$W$86,1)))</f>
        <v>12.429622443223225</v>
      </c>
      <c r="CJ16" s="178"/>
      <c r="CK16" s="178"/>
    </row>
    <row r="17" spans="1:89">
      <c r="AC17" s="164" t="s">
        <v>176</v>
      </c>
      <c r="AD17" s="164">
        <v>24</v>
      </c>
      <c r="AE17" s="165">
        <v>9</v>
      </c>
      <c r="AF17" s="165">
        <v>12</v>
      </c>
      <c r="AG17" s="165">
        <v>12</v>
      </c>
      <c r="AH17" s="164"/>
      <c r="AI17" s="164"/>
      <c r="AJ17" s="501"/>
      <c r="AK17" s="166">
        <f t="shared" ca="1" si="2"/>
        <v>32.046666666666674</v>
      </c>
      <c r="AL17" s="167">
        <f ca="1">IF((INDEX($AA$4:$AA$7,MATCH(INDOOR_1,$Z$4:$Z$7))*(INDEX($X$27:$X$46,MATCH($AD17,$W$27:$W$46,1))/(INDEX($AA$4:$AA$7,MATCH(INDOOR_1,$Z$4:$Z$7))+INDEX($AA$4:$AA$7,MATCH(INDOOR_2,$Z$4:$Z$7))+INDEX($AA$4:$AA$7,MATCH(INDOOR_3,$Z$4:$Z$7)))))
&gt;AR17,AR17,
(INDEX($AA$4:$AA$7,MATCH(INDOOR_1,$Z$4:$Z$7))*(INDEX($X$27:$X$46,MATCH($AD17,$W$27:$W$46,1))/(INDEX($AA$4:$AA$7,MATCH(INDOOR_1,$Z$4:$Z$7))+INDEX($AA$4:$AA$7,MATCH(INDOOR_2,$Z$4:$Z$7))+INDEX($AA$4:$AA$7,MATCH(INDOOR_3,$Z$4:$Z$7))))))</f>
        <v>8.740000000000002</v>
      </c>
      <c r="AM17" s="167">
        <f ca="1">IF((INDEX($AA$4:$AA$7,MATCH(INDOOR_2,$Z$4:$Z$7))*(INDEX($X$27:$X$46,MATCH($AD17,$W$27:$W$46,1))/(INDEX($AA$4:$AA$7,MATCH(INDOOR_1,$Z$4:$Z$7))+INDEX($AA$4:$AA$7,MATCH(INDOOR_2,$Z$4:$Z$7))+INDEX($AA$4:$AA$7,MATCH(INDOOR_3,$Z$4:$Z$7)))))
&gt;AS17,AS17,
(INDEX($AA$4:$AA$7,MATCH(INDOOR_2,$Z$4:$Z$7))*(INDEX($X$27:$X$46,MATCH($AD17,$W$27:$W$46,1))/(INDEX($AA$4:$AA$7,MATCH(INDOOR_1,$Z$4:$Z$7))+INDEX($AA$4:$AA$7,MATCH(INDOOR_2,$Z$4:$Z$7))+INDEX($AA$4:$AA$7,MATCH(INDOOR_3,$Z$4:$Z$7))))))</f>
        <v>11.653333333333336</v>
      </c>
      <c r="AN17" s="167">
        <f ca="1">IF((INDEX($AA$4:$AA$7,MATCH(INDOOR_3,$Z$4:$Z$7))*(INDEX($X$27:$X$46,MATCH($AD17,$W$27:$W$46,1))/(INDEX($AA$4:$AA$7,MATCH(INDOOR_1,$Z$4:$Z$7))+INDEX($AA$4:$AA$7,MATCH(INDOOR_2,$Z$4:$Z$7))+INDEX($AA$4:$AA$7,MATCH(INDOOR_3,$Z$4:$Z$7)))))
&gt;AT17,AT17,
(INDEX($AA$4:$AA$7,MATCH(INDOOR_3,$Z$4:$Z$7))*(INDEX($X$27:$X$46,MATCH($AD17,$W$27:$W$46,1))/(INDEX($AA$4:$AA$7,MATCH(INDOOR_1,$Z$4:$Z$7))+INDEX($AA$4:$AA$7,MATCH(INDOOR_2,$Z$4:$Z$7))+INDEX($AA$4:$AA$7,MATCH(INDOOR_3,$Z$4:$Z$7))))))</f>
        <v>11.653333333333336</v>
      </c>
      <c r="AO17" s="178"/>
      <c r="AP17" s="178"/>
      <c r="AQ17" s="169">
        <f t="shared" ca="1" si="5"/>
        <v>36.620888888888892</v>
      </c>
      <c r="AR17" s="170">
        <f ca="1">INDEX('Cap based on indoor unit SZ'!$J$6:$J$21,MATCH(AE17,'Cap based on indoor unit SZ'!$I$6:$I$21))</f>
        <v>10.463111111111111</v>
      </c>
      <c r="AS17" s="170">
        <f ca="1">INDEX('Cap based on indoor unit SZ'!$J$6:$J$21,MATCH(AF17,'Cap based on indoor unit SZ'!$I$6:$I$21))</f>
        <v>13.078888888888891</v>
      </c>
      <c r="AT17" s="170">
        <f ca="1">INDEX('Cap based on indoor unit SZ'!$J$6:$J$21,MATCH(AG17,'Cap based on indoor unit SZ'!$I$6:$I$21))</f>
        <v>13.078888888888891</v>
      </c>
      <c r="AU17" s="179"/>
      <c r="AV17" s="179"/>
      <c r="AW17" s="169">
        <f t="shared" si="6"/>
        <v>28.5</v>
      </c>
      <c r="AX17" s="170">
        <v>8.5</v>
      </c>
      <c r="AY17" s="170">
        <v>10</v>
      </c>
      <c r="AZ17" s="170">
        <v>10</v>
      </c>
      <c r="BA17" s="179"/>
      <c r="BB17" s="179"/>
      <c r="BC17" s="172">
        <f t="shared" ca="1" si="7"/>
        <v>32.046666666666674</v>
      </c>
      <c r="BD17" s="173">
        <f t="shared" ca="1" si="20"/>
        <v>8.740000000000002</v>
      </c>
      <c r="BE17" s="173">
        <f t="shared" ca="1" si="20"/>
        <v>11.653333333333336</v>
      </c>
      <c r="BF17" s="173">
        <f t="shared" ca="1" si="20"/>
        <v>11.653333333333336</v>
      </c>
      <c r="BG17" s="180"/>
      <c r="BH17" s="180"/>
      <c r="BI17" s="166">
        <f t="shared" ca="1" si="10"/>
        <v>36.210666666666675</v>
      </c>
      <c r="BJ17" s="167">
        <f ca="1">IF((INDEX($AA$4:$AA$7,MATCH(INDOOR_1,$Z$4:$Z$7))*(INDEX($X$118:$X$137,MATCH($AD17,$W$118:$W$137,1))/(INDEX($AA$4:$AA$7,MATCH(INDOOR_1,$Z$4:$Z$7))+INDEX($AA$4:$AA$7,MATCH(INDOOR_2,$Z$4:$Z$7))+INDEX($AA$4:$AA$7,MATCH(INDOOR_3,$Z$4:$Z$7)))))
&gt;BP17,BP17,
(INDEX($AA$4:$AA$7,MATCH(INDOOR_1,$Z$4:$Z$7))*(INDEX($X$118:$X$137,MATCH($AD17,$W$118:$W$137,1))/(INDEX($AA$4:$AA$7,MATCH(INDOOR_1,$Z$4:$Z$7))+INDEX($AA$4:$AA$7,MATCH(INDOOR_2,$Z$4:$Z$7))+INDEX($AA$4:$AA$7,MATCH(INDOOR_3,$Z$4:$Z$7))))))</f>
        <v>9.8756363636363655</v>
      </c>
      <c r="BK17" s="167">
        <f ca="1">IF((INDEX($AA$4:$AA$7,MATCH(INDOOR_2,$Z$4:$Z$7))*(INDEX($X$118:$X$137,MATCH($AD17,$W$118:$W$137,1))/(INDEX($AA$4:$AA$7,MATCH(INDOOR_1,$Z$4:$Z$7))+INDEX($AA$4:$AA$7,MATCH(INDOOR_2,$Z$4:$Z$7))+INDEX($AA$4:$AA$7,MATCH(INDOOR_3,$Z$4:$Z$7)))))
&gt;BQ17,BQ17,
(INDEX($AA$4:$AA$7,MATCH(INDOOR_2,$Z$4:$Z$7))*(INDEX($X$118:$X$137,MATCH($AD17,$W$118:$W$137,1))/(INDEX($AA$4:$AA$7,MATCH(INDOOR_1,$Z$4:$Z$7))+INDEX($AA$4:$AA$7,MATCH(INDOOR_2,$Z$4:$Z$7))+INDEX($AA$4:$AA$7,MATCH(INDOOR_3,$Z$4:$Z$7))))))</f>
        <v>13.167515151515154</v>
      </c>
      <c r="BL17" s="167">
        <f ca="1">IF((INDEX($AA$4:$AA$7,MATCH(INDOOR_3,$Z$4:$Z$7))*(INDEX($X$118:$X$137,MATCH($AD17,$W$118:$W$137,1))/(INDEX($AA$4:$AA$7,MATCH(INDOOR_1,$Z$4:$Z$7))+INDEX($AA$4:$AA$7,MATCH(INDOOR_2,$Z$4:$Z$7))+INDEX($AA$4:$AA$7,MATCH(INDOOR_3,$Z$4:$Z$7)))))
&gt;BR17,BR17,
(INDEX($AA$4:$AA$7,MATCH(INDOOR_3,$Z$4:$Z$7))*(INDEX($X$118:$X$137,MATCH($AD17,$W$118:$W$137,1))/(INDEX($AA$4:$AA$7,MATCH(INDOOR_1,$Z$4:$Z$7))+INDEX($AA$4:$AA$7,MATCH(INDOOR_2,$Z$4:$Z$7))+INDEX($AA$4:$AA$7,MATCH(INDOOR_3,$Z$4:$Z$7))))))</f>
        <v>13.167515151515154</v>
      </c>
      <c r="BM17" s="178"/>
      <c r="BN17" s="178"/>
      <c r="BO17" s="169">
        <f t="shared" ca="1" si="13"/>
        <v>41.84607179487179</v>
      </c>
      <c r="BP17" s="170">
        <f ca="1">INDEX('Cap based on indoor unit SZ'!$V$43:$V$58,MATCH(AE17,'Cap based on indoor unit SZ'!$U$43:$U$58))</f>
        <v>11.956020512820512</v>
      </c>
      <c r="BQ17" s="170">
        <f ca="1">INDEX('Cap based on indoor unit SZ'!$V$43:$V$58,MATCH(AF17,'Cap based on indoor unit SZ'!$U$43:$U$58))</f>
        <v>14.945025641025641</v>
      </c>
      <c r="BR17" s="170">
        <f ca="1">INDEX('Cap based on indoor unit SZ'!$V$43:$V$58,MATCH(AG17,'Cap based on indoor unit SZ'!$U$43:$U$58))</f>
        <v>14.945025641025641</v>
      </c>
      <c r="BS17" s="179"/>
      <c r="BT17" s="179"/>
      <c r="BU17" s="175">
        <v>8500</v>
      </c>
      <c r="BV17" s="175">
        <v>11500</v>
      </c>
      <c r="BW17" s="175">
        <v>11500</v>
      </c>
      <c r="BX17" s="179"/>
      <c r="BY17" s="179"/>
      <c r="BZ17" s="172">
        <f t="shared" ca="1" si="14"/>
        <v>36.210666666666675</v>
      </c>
      <c r="CA17" s="173">
        <f ca="1">(INDEX($AA$4:$AA$7,MATCH(INDOOR_1,$Z$4:$Z$7))*(INDEX($X$118:$X$137,MATCH($AD17,$W$118:$W$137,1))/(INDEX($AA$4:$AA$7,MATCH(INDOOR_1,$Z$4:$Z$7))+INDEX($AA$4:$AA$7,MATCH(INDOOR_2,$Z$4:$Z$7))+INDEX($AA$4:$AA$7,MATCH(INDOOR_3,$Z$4:$Z$7)))))</f>
        <v>9.8756363636363655</v>
      </c>
      <c r="CB17" s="173">
        <f ca="1">(INDEX($AA$4:$AA$7,MATCH(INDOOR_2,$Z$4:$Z$7))*(INDEX($X$118:$X$137,MATCH($AD17,$W$118:$W$137,1))/(INDEX($AA$4:$AA$7,MATCH(INDOOR_1,$Z$4:$Z$7))+INDEX($AA$4:$AA$7,MATCH(INDOOR_2,$Z$4:$Z$7))+INDEX($AA$4:$AA$7,MATCH(INDOOR_3,$Z$4:$Z$7)))))</f>
        <v>13.167515151515154</v>
      </c>
      <c r="CC17" s="173">
        <f ca="1">(INDEX($AA$4:$AA$7,MATCH(INDOOR_3,$Z$4:$Z$7))*(INDEX($X$118:$X$137,MATCH($AD17,$W$118:$W$137,1))/(INDEX($AA$4:$AA$7,MATCH(INDOOR_1,$Z$4:$Z$7))+INDEX($AA$4:$AA$7,MATCH(INDOOR_2,$Z$4:$Z$7))+INDEX($AA$4:$AA$7,MATCH(INDOOR_3,$Z$4:$Z$7)))))</f>
        <v>13.167515151515154</v>
      </c>
      <c r="CD17" s="180"/>
      <c r="CE17" s="180"/>
      <c r="CF17" s="166">
        <f t="shared" ca="1" si="17"/>
        <v>24.859244886446458</v>
      </c>
      <c r="CG17" s="167">
        <f t="shared" ca="1" si="18"/>
        <v>6.7797940599399427</v>
      </c>
      <c r="CH17" s="167">
        <f t="shared" ca="1" si="19"/>
        <v>9.0397254132532581</v>
      </c>
      <c r="CI17" s="167">
        <f ca="1">AN17*(INDEX($X$67:$X$86,MATCH($AD17,$W$67:$W$86,1)))</f>
        <v>9.0397254132532581</v>
      </c>
      <c r="CJ17" s="178"/>
      <c r="CK17" s="178"/>
    </row>
    <row r="18" spans="1:89">
      <c r="AC18" s="164" t="s">
        <v>217</v>
      </c>
      <c r="AD18" s="164">
        <v>24</v>
      </c>
      <c r="AE18" s="165">
        <v>12</v>
      </c>
      <c r="AF18" s="165">
        <v>12</v>
      </c>
      <c r="AG18" s="165">
        <v>12</v>
      </c>
      <c r="AH18" s="164"/>
      <c r="AI18" s="164"/>
      <c r="AJ18" s="501"/>
      <c r="AK18" s="166">
        <f t="shared" ca="1" si="2"/>
        <v>32.046666666666667</v>
      </c>
      <c r="AL18" s="167">
        <f ca="1">IF((INDEX($AA$4:$AA$7,MATCH(INDOOR_1,$Z$4:$Z$7))*(INDEX($X$27:$X$46,MATCH($AD18,$W$27:$W$46,1))/(INDEX($AA$4:$AA$7,MATCH(INDOOR_1,$Z$4:$Z$7))+INDEX($AA$4:$AA$7,MATCH(INDOOR_2,$Z$4:$Z$7))+INDEX($AA$4:$AA$7,MATCH(INDOOR_3,$Z$4:$Z$7)))))
&gt;AR18,AR18,
(INDEX($AA$4:$AA$7,MATCH(INDOOR_1,$Z$4:$Z$7))*(INDEX($X$27:$X$46,MATCH($AD18,$W$27:$W$46,1))/(INDEX($AA$4:$AA$7,MATCH(INDOOR_1,$Z$4:$Z$7))+INDEX($AA$4:$AA$7,MATCH(INDOOR_2,$Z$4:$Z$7))+INDEX($AA$4:$AA$7,MATCH(INDOOR_3,$Z$4:$Z$7))))))</f>
        <v>10.682222222222222</v>
      </c>
      <c r="AM18" s="167">
        <f ca="1">IF((INDEX($AA$4:$AA$7,MATCH(INDOOR_2,$Z$4:$Z$7))*(INDEX($X$27:$X$46,MATCH($AD18,$W$27:$W$46,1))/(INDEX($AA$4:$AA$7,MATCH(INDOOR_1,$Z$4:$Z$7))+INDEX($AA$4:$AA$7,MATCH(INDOOR_2,$Z$4:$Z$7))+INDEX($AA$4:$AA$7,MATCH(INDOOR_3,$Z$4:$Z$7)))))
&gt;AS18,AS18,
(INDEX($AA$4:$AA$7,MATCH(INDOOR_2,$Z$4:$Z$7))*(INDEX($X$27:$X$46,MATCH($AD18,$W$27:$W$46,1))/(INDEX($AA$4:$AA$7,MATCH(INDOOR_1,$Z$4:$Z$7))+INDEX($AA$4:$AA$7,MATCH(INDOOR_2,$Z$4:$Z$7))+INDEX($AA$4:$AA$7,MATCH(INDOOR_3,$Z$4:$Z$7))))))</f>
        <v>10.682222222222222</v>
      </c>
      <c r="AN18" s="167">
        <f ca="1">IF((INDEX($AA$4:$AA$7,MATCH(INDOOR_3,$Z$4:$Z$7))*(INDEX($X$27:$X$46,MATCH($AD18,$W$27:$W$46,1))/(INDEX($AA$4:$AA$7,MATCH(INDOOR_1,$Z$4:$Z$7))+INDEX($AA$4:$AA$7,MATCH(INDOOR_2,$Z$4:$Z$7))+INDEX($AA$4:$AA$7,MATCH(INDOOR_3,$Z$4:$Z$7)))))
&gt;AT18,AT18,
(INDEX($AA$4:$AA$7,MATCH(INDOOR_3,$Z$4:$Z$7))*(INDEX($X$27:$X$46,MATCH($AD18,$W$27:$W$46,1))/(INDEX($AA$4:$AA$7,MATCH(INDOOR_1,$Z$4:$Z$7))+INDEX($AA$4:$AA$7,MATCH(INDOOR_2,$Z$4:$Z$7))+INDEX($AA$4:$AA$7,MATCH(INDOOR_3,$Z$4:$Z$7))))))</f>
        <v>10.682222222222222</v>
      </c>
      <c r="AO18" s="178"/>
      <c r="AP18" s="178"/>
      <c r="AQ18" s="169">
        <f t="shared" ca="1" si="5"/>
        <v>39.236666666666672</v>
      </c>
      <c r="AR18" s="170">
        <f ca="1">INDEX('Cap based on indoor unit SZ'!$J$6:$J$21,MATCH(AE18,'Cap based on indoor unit SZ'!$I$6:$I$21))</f>
        <v>13.078888888888891</v>
      </c>
      <c r="AS18" s="170">
        <f ca="1">INDEX('Cap based on indoor unit SZ'!$J$6:$J$21,MATCH(AF18,'Cap based on indoor unit SZ'!$I$6:$I$21))</f>
        <v>13.078888888888891</v>
      </c>
      <c r="AT18" s="170">
        <f ca="1">INDEX('Cap based on indoor unit SZ'!$J$6:$J$21,MATCH(AG18,'Cap based on indoor unit SZ'!$I$6:$I$21))</f>
        <v>13.078888888888891</v>
      </c>
      <c r="AU18" s="179"/>
      <c r="AV18" s="179"/>
      <c r="AW18" s="169">
        <f t="shared" si="6"/>
        <v>29.000999999999998</v>
      </c>
      <c r="AX18" s="170">
        <v>9.6669999999999998</v>
      </c>
      <c r="AY18" s="170">
        <v>9.6669999999999998</v>
      </c>
      <c r="AZ18" s="170">
        <v>9.6669999999999998</v>
      </c>
      <c r="BA18" s="179"/>
      <c r="BB18" s="179"/>
      <c r="BC18" s="172">
        <f t="shared" ca="1" si="7"/>
        <v>32.046666666666667</v>
      </c>
      <c r="BD18" s="173">
        <f t="shared" ca="1" si="20"/>
        <v>10.682222222222222</v>
      </c>
      <c r="BE18" s="173">
        <f t="shared" ca="1" si="20"/>
        <v>10.682222222222222</v>
      </c>
      <c r="BF18" s="173">
        <f t="shared" ca="1" si="20"/>
        <v>10.682222222222222</v>
      </c>
      <c r="BG18" s="180"/>
      <c r="BH18" s="180"/>
      <c r="BI18" s="166">
        <f t="shared" ca="1" si="10"/>
        <v>36.210666666666668</v>
      </c>
      <c r="BJ18" s="167">
        <f ca="1">IF((INDEX($AA$4:$AA$7,MATCH(INDOOR_1,$Z$4:$Z$7))*(INDEX($X$118:$X$137,MATCH($AD18,$W$118:$W$137,1))/(INDEX($AA$4:$AA$7,MATCH(INDOOR_1,$Z$4:$Z$7))+INDEX($AA$4:$AA$7,MATCH(INDOOR_2,$Z$4:$Z$7))+INDEX($AA$4:$AA$7,MATCH(INDOOR_3,$Z$4:$Z$7)))))
&gt;BP18,BP18,
(INDEX($AA$4:$AA$7,MATCH(INDOOR_1,$Z$4:$Z$7))*(INDEX($X$118:$X$137,MATCH($AD18,$W$118:$W$137,1))/(INDEX($AA$4:$AA$7,MATCH(INDOOR_1,$Z$4:$Z$7))+INDEX($AA$4:$AA$7,MATCH(INDOOR_2,$Z$4:$Z$7))+INDEX($AA$4:$AA$7,MATCH(INDOOR_3,$Z$4:$Z$7))))))</f>
        <v>12.070222222222222</v>
      </c>
      <c r="BK18" s="167">
        <f ca="1">IF((INDEX($AA$4:$AA$7,MATCH(INDOOR_2,$Z$4:$Z$7))*(INDEX($X$118:$X$137,MATCH($AD18,$W$118:$W$137,1))/(INDEX($AA$4:$AA$7,MATCH(INDOOR_1,$Z$4:$Z$7))+INDEX($AA$4:$AA$7,MATCH(INDOOR_2,$Z$4:$Z$7))+INDEX($AA$4:$AA$7,MATCH(INDOOR_3,$Z$4:$Z$7)))))
&gt;BQ18,BQ18,
(INDEX($AA$4:$AA$7,MATCH(INDOOR_2,$Z$4:$Z$7))*(INDEX($X$118:$X$137,MATCH($AD18,$W$118:$W$137,1))/(INDEX($AA$4:$AA$7,MATCH(INDOOR_1,$Z$4:$Z$7))+INDEX($AA$4:$AA$7,MATCH(INDOOR_2,$Z$4:$Z$7))+INDEX($AA$4:$AA$7,MATCH(INDOOR_3,$Z$4:$Z$7))))))</f>
        <v>12.070222222222222</v>
      </c>
      <c r="BL18" s="167">
        <f ca="1">IF((INDEX($AA$4:$AA$7,MATCH(INDOOR_3,$Z$4:$Z$7))*(INDEX($X$118:$X$137,MATCH($AD18,$W$118:$W$137,1))/(INDEX($AA$4:$AA$7,MATCH(INDOOR_1,$Z$4:$Z$7))+INDEX($AA$4:$AA$7,MATCH(INDOOR_2,$Z$4:$Z$7))+INDEX($AA$4:$AA$7,MATCH(INDOOR_3,$Z$4:$Z$7)))))
&gt;BR18,BR18,
(INDEX($AA$4:$AA$7,MATCH(INDOOR_3,$Z$4:$Z$7))*(INDEX($X$118:$X$137,MATCH($AD18,$W$118:$W$137,1))/(INDEX($AA$4:$AA$7,MATCH(INDOOR_1,$Z$4:$Z$7))+INDEX($AA$4:$AA$7,MATCH(INDOOR_2,$Z$4:$Z$7))+INDEX($AA$4:$AA$7,MATCH(INDOOR_3,$Z$4:$Z$7))))))</f>
        <v>12.070222222222222</v>
      </c>
      <c r="BM18" s="178"/>
      <c r="BN18" s="178"/>
      <c r="BO18" s="169">
        <f t="shared" ca="1" si="13"/>
        <v>44.835076923076926</v>
      </c>
      <c r="BP18" s="170">
        <f ca="1">INDEX('Cap based on indoor unit SZ'!$V$43:$V$58,MATCH(AE18,'Cap based on indoor unit SZ'!$U$43:$U$58))</f>
        <v>14.945025641025641</v>
      </c>
      <c r="BQ18" s="170">
        <f ca="1">INDEX('Cap based on indoor unit SZ'!$V$43:$V$58,MATCH(AF18,'Cap based on indoor unit SZ'!$U$43:$U$58))</f>
        <v>14.945025641025641</v>
      </c>
      <c r="BR18" s="170">
        <f ca="1">INDEX('Cap based on indoor unit SZ'!$V$43:$V$58,MATCH(AG18,'Cap based on indoor unit SZ'!$U$43:$U$58))</f>
        <v>14.945025641025641</v>
      </c>
      <c r="BS18" s="179"/>
      <c r="BT18" s="179"/>
      <c r="BU18" s="175">
        <v>10667</v>
      </c>
      <c r="BV18" s="175">
        <v>10667</v>
      </c>
      <c r="BW18" s="175">
        <v>10667</v>
      </c>
      <c r="BX18" s="179"/>
      <c r="BY18" s="179"/>
      <c r="BZ18" s="172">
        <f t="shared" ca="1" si="14"/>
        <v>36.210666666666668</v>
      </c>
      <c r="CA18" s="173">
        <f ca="1">(INDEX($AA$4:$AA$7,MATCH(INDOOR_1,$Z$4:$Z$7))*(INDEX($X$118:$X$137,MATCH($AD18,$W$118:$W$137,1))/(INDEX($AA$4:$AA$7,MATCH(INDOOR_1,$Z$4:$Z$7))+INDEX($AA$4:$AA$7,MATCH(INDOOR_2,$Z$4:$Z$7))+INDEX($AA$4:$AA$7,MATCH(INDOOR_3,$Z$4:$Z$7)))))</f>
        <v>12.070222222222222</v>
      </c>
      <c r="CB18" s="173">
        <f ca="1">(INDEX($AA$4:$AA$7,MATCH(INDOOR_2,$Z$4:$Z$7))*(INDEX($X$118:$X$137,MATCH($AD18,$W$118:$W$137,1))/(INDEX($AA$4:$AA$7,MATCH(INDOOR_1,$Z$4:$Z$7))+INDEX($AA$4:$AA$7,MATCH(INDOOR_2,$Z$4:$Z$7))+INDEX($AA$4:$AA$7,MATCH(INDOOR_3,$Z$4:$Z$7)))))</f>
        <v>12.070222222222222</v>
      </c>
      <c r="CC18" s="173">
        <f ca="1">(INDEX($AA$4:$AA$7,MATCH(INDOOR_3,$Z$4:$Z$7))*(INDEX($X$118:$X$137,MATCH($AD18,$W$118:$W$137,1))/(INDEX($AA$4:$AA$7,MATCH(INDOOR_1,$Z$4:$Z$7))+INDEX($AA$4:$AA$7,MATCH(INDOOR_2,$Z$4:$Z$7))+INDEX($AA$4:$AA$7,MATCH(INDOOR_3,$Z$4:$Z$7)))))</f>
        <v>12.070222222222222</v>
      </c>
      <c r="CD18" s="180"/>
      <c r="CE18" s="180"/>
      <c r="CF18" s="166">
        <f t="shared" ca="1" si="17"/>
        <v>24.859244886446454</v>
      </c>
      <c r="CG18" s="167">
        <f t="shared" ca="1" si="18"/>
        <v>8.2864149621488181</v>
      </c>
      <c r="CH18" s="167">
        <f t="shared" ca="1" si="19"/>
        <v>8.2864149621488181</v>
      </c>
      <c r="CI18" s="167">
        <f ca="1">AN18*(INDEX($X$67:$X$86,MATCH($AD18,$W$67:$W$86,1)))</f>
        <v>8.2864149621488181</v>
      </c>
      <c r="CJ18" s="178"/>
      <c r="CK18" s="178"/>
    </row>
    <row r="19" spans="1:89">
      <c r="AC19" s="160" t="s">
        <v>47</v>
      </c>
      <c r="AD19" s="160">
        <v>30</v>
      </c>
      <c r="AE19" s="160"/>
      <c r="AF19" s="160"/>
      <c r="AG19" s="160"/>
      <c r="AH19" s="160"/>
      <c r="AI19" s="160"/>
      <c r="AJ19" s="176"/>
      <c r="AK19" s="166"/>
      <c r="AL19" s="162" t="s">
        <v>60</v>
      </c>
      <c r="AM19" s="162" t="s">
        <v>61</v>
      </c>
      <c r="AN19" s="162" t="s">
        <v>62</v>
      </c>
      <c r="AO19" s="162" t="s">
        <v>63</v>
      </c>
      <c r="AP19" s="162" t="s">
        <v>64</v>
      </c>
      <c r="AQ19" s="169"/>
      <c r="AR19" s="160" t="s">
        <v>60</v>
      </c>
      <c r="AS19" s="160" t="s">
        <v>61</v>
      </c>
      <c r="AT19" s="160" t="s">
        <v>62</v>
      </c>
      <c r="AU19" s="160" t="s">
        <v>63</v>
      </c>
      <c r="AV19" s="160" t="s">
        <v>64</v>
      </c>
      <c r="AW19" s="169"/>
      <c r="AX19" s="160" t="s">
        <v>60</v>
      </c>
      <c r="AY19" s="160" t="s">
        <v>61</v>
      </c>
      <c r="AZ19" s="160" t="s">
        <v>62</v>
      </c>
      <c r="BA19" s="160" t="s">
        <v>63</v>
      </c>
      <c r="BB19" s="160" t="s">
        <v>64</v>
      </c>
      <c r="BC19" s="172"/>
      <c r="BD19" s="163" t="s">
        <v>60</v>
      </c>
      <c r="BE19" s="163" t="s">
        <v>61</v>
      </c>
      <c r="BF19" s="163" t="s">
        <v>62</v>
      </c>
      <c r="BG19" s="163" t="s">
        <v>63</v>
      </c>
      <c r="BH19" s="163" t="s">
        <v>64</v>
      </c>
      <c r="BI19" s="166"/>
      <c r="BJ19" s="162" t="s">
        <v>60</v>
      </c>
      <c r="BK19" s="162" t="s">
        <v>61</v>
      </c>
      <c r="BL19" s="162" t="s">
        <v>62</v>
      </c>
      <c r="BM19" s="162" t="s">
        <v>63</v>
      </c>
      <c r="BN19" s="162" t="s">
        <v>64</v>
      </c>
      <c r="BO19" s="169"/>
      <c r="BP19" s="160" t="s">
        <v>60</v>
      </c>
      <c r="BQ19" s="160" t="s">
        <v>61</v>
      </c>
      <c r="BR19" s="160" t="s">
        <v>62</v>
      </c>
      <c r="BS19" s="160" t="s">
        <v>63</v>
      </c>
      <c r="BT19" s="160" t="s">
        <v>64</v>
      </c>
      <c r="BU19" s="160" t="s">
        <v>60</v>
      </c>
      <c r="BV19" s="160" t="s">
        <v>61</v>
      </c>
      <c r="BW19" s="160" t="s">
        <v>62</v>
      </c>
      <c r="BX19" s="160" t="s">
        <v>63</v>
      </c>
      <c r="BY19" s="160" t="s">
        <v>64</v>
      </c>
      <c r="BZ19" s="172"/>
      <c r="CA19" s="163" t="s">
        <v>60</v>
      </c>
      <c r="CB19" s="163" t="s">
        <v>61</v>
      </c>
      <c r="CC19" s="163" t="s">
        <v>62</v>
      </c>
      <c r="CD19" s="163" t="s">
        <v>63</v>
      </c>
      <c r="CE19" s="163" t="s">
        <v>64</v>
      </c>
      <c r="CF19" s="166"/>
      <c r="CG19" s="162" t="s">
        <v>60</v>
      </c>
      <c r="CH19" s="162" t="s">
        <v>61</v>
      </c>
      <c r="CI19" s="162" t="s">
        <v>62</v>
      </c>
      <c r="CJ19" s="162" t="s">
        <v>63</v>
      </c>
      <c r="CK19" s="162" t="s">
        <v>64</v>
      </c>
    </row>
    <row r="20" spans="1:89">
      <c r="AC20" s="164" t="s">
        <v>230</v>
      </c>
      <c r="AD20" s="164">
        <v>30</v>
      </c>
      <c r="AE20" s="165">
        <v>9</v>
      </c>
      <c r="AF20" s="165">
        <v>9</v>
      </c>
      <c r="AG20" s="165"/>
      <c r="AH20" s="164"/>
      <c r="AI20" s="164"/>
      <c r="AJ20" s="510">
        <v>2</v>
      </c>
      <c r="AK20" s="166">
        <f t="shared" ref="AK20:AK46" ca="1" si="21">SUM(AL20:AP20)</f>
        <v>20.926222222222222</v>
      </c>
      <c r="AL20" s="167">
        <f t="shared" ref="AL20:AL27" ca="1" si="22">IF((INDEX($AA$4:$AA$7,MATCH(INDOOR_1,$Z$4:$Z$7))*(INDEX($X$27:$X$46,MATCH($AD20,$W$27:$W$46,1))/(INDEX($AA$4:$AA$7,MATCH(INDOOR_1,$Z$4:$Z$7))+INDEX($AA$4:$AA$7,MATCH(INDOOR_2,$Z$4:$Z$7)))))
&gt;AR20,AR20,
(INDEX($AA$4:$AA$7,MATCH(INDOOR_1,$Z$4:$Z$7))*(INDEX($X$27:$X$46,MATCH($AD20,$W$27:$W$46,1))/(INDEX($AA$4:$AA$7,MATCH(INDOOR_1,$Z$4:$Z$7))+INDEX($AA$4:$AA$7,MATCH(INDOOR_2,$Z$4:$Z$7))))))</f>
        <v>10.463111111111111</v>
      </c>
      <c r="AM20" s="167">
        <f t="shared" ref="AM20:AM27" ca="1" si="23">IF((INDEX($AA$4:$AA$7,MATCH(INDOOR_2,$Z$4:$Z$7))*(INDEX($X$27:$X$46,MATCH($AD20,$W$27:$W$46,1))/(INDEX($AA$4:$AA$7,MATCH(INDOOR_1,$Z$4:$Z$7))+INDEX($AA$4:$AA$7,MATCH(INDOOR_2,$Z$4:$Z$7)))))
&gt;AS20,AS20,
(INDEX($AA$4:$AA$7,MATCH(INDOOR_2,$Z$4:$Z$7))*(INDEX($X$27:$X$46,MATCH($AD20,$W$27:$W$46,1))/(INDEX($AA$4:$AA$7,MATCH(INDOOR_1,$Z$4:$Z$7))+INDEX($AA$4:$AA$7,MATCH(INDOOR_2,$Z$4:$Z$7))))))</f>
        <v>10.463111111111111</v>
      </c>
      <c r="AN20" s="178"/>
      <c r="AO20" s="178"/>
      <c r="AP20" s="178"/>
      <c r="AQ20" s="169">
        <f t="shared" ref="AQ20:AQ46" ca="1" si="24">SUM(AR20:AV20)</f>
        <v>20.926222222222222</v>
      </c>
      <c r="AR20" s="170">
        <f ca="1">INDEX('Cap based on indoor unit SZ'!$J$6:$J$21,MATCH(AE20,'Cap based on indoor unit SZ'!$I$6:$I$21))</f>
        <v>10.463111111111111</v>
      </c>
      <c r="AS20" s="170">
        <f ca="1">INDEX('Cap based on indoor unit SZ'!$J$6:$J$21,MATCH(AF20,'Cap based on indoor unit SZ'!$I$6:$I$21))</f>
        <v>10.463111111111111</v>
      </c>
      <c r="AT20" s="179"/>
      <c r="AU20" s="179"/>
      <c r="AV20" s="179"/>
      <c r="AW20" s="169">
        <f t="shared" ref="AW20:AW46" si="25">SUM(AX20:BB20)</f>
        <v>20</v>
      </c>
      <c r="AX20" s="170">
        <v>10</v>
      </c>
      <c r="AY20" s="170">
        <v>10</v>
      </c>
      <c r="AZ20" s="179"/>
      <c r="BA20" s="179"/>
      <c r="BB20" s="179"/>
      <c r="BC20" s="172">
        <f t="shared" ref="BC20:BC46" ca="1" si="26">SUM(BD20:BH20)</f>
        <v>38.845555555555563</v>
      </c>
      <c r="BD20" s="173">
        <f t="shared" ref="BD20:BD27" ca="1" si="27">(INDEX($AA$4:$AA$7,MATCH(AE20,$Z$4:$Z$7))*(INDEX($X$27:$X$46,MATCH($AD20,$W$27:$W$46,1))/(INDEX($AA$4:$AA$7,MATCH(AE20,$Z$4:$Z$7))+INDEX($AA$4:$AA$7,MATCH(AF20,$Z$4:$Z$7)))))</f>
        <v>19.422777777777782</v>
      </c>
      <c r="BE20" s="173">
        <f t="shared" ref="BE20:BE27" ca="1" si="28">(INDEX($AA$4:$AA$7,MATCH(AF20,$Z$4:$Z$7))*(INDEX($X$27:$X$46,MATCH($AD20,$W$27:$W$46,1))/(INDEX($AA$4:$AA$7,MATCH(AE20,$Z$4:$Z$7))+INDEX($AA$4:$AA$7,MATCH(AF20,$Z$4:$Z$7)))))</f>
        <v>19.422777777777782</v>
      </c>
      <c r="BF20" s="180"/>
      <c r="BG20" s="180"/>
      <c r="BH20" s="180"/>
      <c r="BI20" s="166">
        <f t="shared" ref="BI20:BI46" ca="1" si="29">SUM(BJ20:BN20)</f>
        <v>23.912041025641024</v>
      </c>
      <c r="BJ20" s="167">
        <f t="shared" ref="BJ20:BJ27" ca="1" si="30">IF((INDEX($AA$4:$AA$7,MATCH(INDOOR_1,$Z$4:$Z$7))*(INDEX($X$118:$X$137,MATCH($AD20,$W$118:$W$137,1))/(INDEX($AA$4:$AA$7,MATCH(INDOOR_1,$Z$4:$Z$7))+INDEX($AA$4:$AA$7,MATCH(INDOOR_2,$Z$4:$Z$7)))))
&gt;BP20,BP20,
(INDEX($AA$4:$AA$7,MATCH(INDOOR_1,$Z$4:$Z$7))*(INDEX($X$118:$X$137,MATCH($AD20,$W$118:$W$137,1))/(INDEX($AA$4:$AA$7,MATCH(INDOOR_1,$Z$4:$Z$7))+INDEX($AA$4:$AA$7,MATCH(INDOOR_2,$Z$4:$Z$7))))))</f>
        <v>11.956020512820512</v>
      </c>
      <c r="BK20" s="167">
        <f t="shared" ref="BK20:BK27" ca="1" si="31">IF((INDEX($AA$4:$AA$7,MATCH(INDOOR_2,$Z$4:$Z$7))*(INDEX($X$118:$X$137,MATCH($AD20,$W$118:$W$137,1))/(INDEX($AA$4:$AA$7,MATCH(INDOOR_1,$Z$4:$Z$7))+INDEX($AA$4:$AA$7,MATCH(INDOOR_2,$Z$4:$Z$7)))))
&gt;BQ20,BQ20,
(INDEX($AA$4:$AA$7,MATCH(INDOOR_2,$Z$4:$Z$7))*(INDEX($X$118:$X$137,MATCH($AD20,$W$118:$W$137,1))/(INDEX($AA$4:$AA$7,MATCH(INDOOR_1,$Z$4:$Z$7))+INDEX($AA$4:$AA$7,MATCH(INDOOR_2,$Z$4:$Z$7))))))</f>
        <v>11.956020512820512</v>
      </c>
      <c r="BL20" s="178"/>
      <c r="BM20" s="178"/>
      <c r="BN20" s="178"/>
      <c r="BO20" s="169">
        <f t="shared" ref="BO20:BO46" ca="1" si="32">SUM(BP20:BT20)</f>
        <v>23.912041025641024</v>
      </c>
      <c r="BP20" s="170">
        <f ca="1">INDEX('Cap based on indoor unit SZ'!$V$43:$V$58,MATCH(AE20,'Cap based on indoor unit SZ'!$U$43:$U$58))</f>
        <v>11.956020512820512</v>
      </c>
      <c r="BQ20" s="170">
        <f ca="1">INDEX('Cap based on indoor unit SZ'!$V$43:$V$58,MATCH(AF20,'Cap based on indoor unit SZ'!$U$43:$U$58))</f>
        <v>11.956020512820512</v>
      </c>
      <c r="BR20" s="179"/>
      <c r="BS20" s="179"/>
      <c r="BT20" s="179"/>
      <c r="BU20" s="175">
        <v>10500</v>
      </c>
      <c r="BV20" s="175">
        <v>10500</v>
      </c>
      <c r="BW20" s="179"/>
      <c r="BX20" s="179"/>
      <c r="BY20" s="179"/>
      <c r="BZ20" s="172">
        <f t="shared" ref="BZ20:BZ46" ca="1" si="33">SUM(CA20:CE20)</f>
        <v>37.129931623931618</v>
      </c>
      <c r="CA20" s="173">
        <f t="shared" ref="CA20:CA27" ca="1" si="34">(INDEX($AA$4:$AA$7,MATCH(INDOOR_1,$Z$4:$Z$7))*(INDEX($X$118:$X$137,MATCH($AD20,$W$118:$W$137,1))/(INDEX($AA$4:$AA$7,MATCH(INDOOR_1,$Z$4:$Z$7))+INDEX($AA$4:$AA$7,MATCH(INDOOR_2,$Z$4:$Z$7)))))</f>
        <v>18.564965811965809</v>
      </c>
      <c r="CB20" s="173">
        <f t="shared" ref="CB20:CB27" ca="1" si="35">(INDEX($AA$4:$AA$7,MATCH(INDOOR_2,$Z$4:$Z$7))*(INDEX($X$118:$X$137,MATCH($AD20,$W$118:$W$137,1))/(INDEX($AA$4:$AA$7,MATCH(INDOOR_1,$Z$4:$Z$7))+INDEX($AA$4:$AA$7,MATCH(INDOOR_2,$Z$4:$Z$7)))))</f>
        <v>18.564965811965809</v>
      </c>
      <c r="CC20" s="180"/>
      <c r="CD20" s="180"/>
      <c r="CE20" s="180"/>
      <c r="CF20" s="166">
        <f t="shared" ref="CF20:CF46" ca="1" si="36">SUM(CG20:CK20)</f>
        <v>16.74091611858891</v>
      </c>
      <c r="CG20" s="167">
        <f t="shared" ref="CG20:CG46" ca="1" si="37">AL20*(INDEX($X$67:$X$86,MATCH($AD20,$W$67:$W$86,1)))</f>
        <v>8.3704580592944549</v>
      </c>
      <c r="CH20" s="167">
        <f t="shared" ref="CH20:CH46" ca="1" si="38">AM20*(INDEX($X$67:$X$86,MATCH($AD20,$W$67:$W$86,1)))</f>
        <v>8.3704580592944549</v>
      </c>
      <c r="CI20" s="178"/>
      <c r="CJ20" s="178"/>
      <c r="CK20" s="178"/>
    </row>
    <row r="21" spans="1:89">
      <c r="A21" s="154"/>
      <c r="AC21" s="164" t="s">
        <v>228</v>
      </c>
      <c r="AD21" s="164">
        <v>30</v>
      </c>
      <c r="AE21" s="165">
        <v>9</v>
      </c>
      <c r="AF21" s="165">
        <v>12</v>
      </c>
      <c r="AG21" s="165"/>
      <c r="AH21" s="164"/>
      <c r="AI21" s="164"/>
      <c r="AJ21" s="510"/>
      <c r="AK21" s="166">
        <f t="shared" ca="1" si="21"/>
        <v>23.542000000000002</v>
      </c>
      <c r="AL21" s="167">
        <f t="shared" ca="1" si="22"/>
        <v>10.463111111111111</v>
      </c>
      <c r="AM21" s="167">
        <f t="shared" ca="1" si="23"/>
        <v>13.078888888888891</v>
      </c>
      <c r="AN21" s="178"/>
      <c r="AO21" s="178"/>
      <c r="AP21" s="178"/>
      <c r="AQ21" s="169">
        <f t="shared" ca="1" si="24"/>
        <v>23.542000000000002</v>
      </c>
      <c r="AR21" s="170">
        <f ca="1">INDEX('Cap based on indoor unit SZ'!$J$6:$J$21,MATCH(AE21,'Cap based on indoor unit SZ'!$I$6:$I$21))</f>
        <v>10.463111111111111</v>
      </c>
      <c r="AS21" s="170">
        <f ca="1">INDEX('Cap based on indoor unit SZ'!$J$6:$J$21,MATCH(AF21,'Cap based on indoor unit SZ'!$I$6:$I$21))</f>
        <v>13.078888888888891</v>
      </c>
      <c r="AT21" s="179"/>
      <c r="AU21" s="179"/>
      <c r="AV21" s="179"/>
      <c r="AW21" s="169">
        <f t="shared" si="25"/>
        <v>21.5</v>
      </c>
      <c r="AX21" s="170">
        <v>9.5</v>
      </c>
      <c r="AY21" s="170">
        <v>12</v>
      </c>
      <c r="AZ21" s="179"/>
      <c r="BA21" s="179"/>
      <c r="BB21" s="179"/>
      <c r="BC21" s="172">
        <f t="shared" ca="1" si="26"/>
        <v>38.84555555555557</v>
      </c>
      <c r="BD21" s="173">
        <f t="shared" ca="1" si="27"/>
        <v>16.648095238095244</v>
      </c>
      <c r="BE21" s="173">
        <f t="shared" ca="1" si="28"/>
        <v>22.197460317460326</v>
      </c>
      <c r="BF21" s="180"/>
      <c r="BG21" s="180"/>
      <c r="BH21" s="180"/>
      <c r="BI21" s="166">
        <f t="shared" ca="1" si="29"/>
        <v>26.901046153846153</v>
      </c>
      <c r="BJ21" s="167">
        <f t="shared" ca="1" si="30"/>
        <v>11.956020512820512</v>
      </c>
      <c r="BK21" s="167">
        <f t="shared" ca="1" si="31"/>
        <v>14.945025641025641</v>
      </c>
      <c r="BL21" s="178"/>
      <c r="BM21" s="178"/>
      <c r="BN21" s="178"/>
      <c r="BO21" s="169">
        <f t="shared" ca="1" si="32"/>
        <v>26.901046153846153</v>
      </c>
      <c r="BP21" s="170">
        <f ca="1">INDEX('Cap based on indoor unit SZ'!$V$43:$V$58,MATCH(AE21,'Cap based on indoor unit SZ'!$U$43:$U$58))</f>
        <v>11.956020512820512</v>
      </c>
      <c r="BQ21" s="170">
        <f ca="1">INDEX('Cap based on indoor unit SZ'!$V$43:$V$58,MATCH(AF21,'Cap based on indoor unit SZ'!$U$43:$U$58))</f>
        <v>14.945025641025641</v>
      </c>
      <c r="BR21" s="179"/>
      <c r="BS21" s="179"/>
      <c r="BT21" s="179"/>
      <c r="BU21" s="175">
        <v>10000</v>
      </c>
      <c r="BV21" s="175">
        <v>13000</v>
      </c>
      <c r="BW21" s="179"/>
      <c r="BX21" s="179"/>
      <c r="BY21" s="179"/>
      <c r="BZ21" s="172">
        <f t="shared" ca="1" si="33"/>
        <v>37.129931623931625</v>
      </c>
      <c r="CA21" s="173">
        <f t="shared" ca="1" si="34"/>
        <v>15.912827838827839</v>
      </c>
      <c r="CB21" s="173">
        <f t="shared" ca="1" si="35"/>
        <v>21.217103785103784</v>
      </c>
      <c r="CC21" s="180"/>
      <c r="CD21" s="180"/>
      <c r="CE21" s="180"/>
      <c r="CF21" s="166">
        <f t="shared" ca="1" si="36"/>
        <v>18.833530633412522</v>
      </c>
      <c r="CG21" s="167">
        <f t="shared" ca="1" si="37"/>
        <v>8.3704580592944549</v>
      </c>
      <c r="CH21" s="167">
        <f t="shared" ca="1" si="38"/>
        <v>10.463072574118069</v>
      </c>
      <c r="CI21" s="178"/>
      <c r="CJ21" s="178"/>
      <c r="CK21" s="178"/>
    </row>
    <row r="22" spans="1:89">
      <c r="A22" s="154"/>
      <c r="S22" s="181"/>
      <c r="T22" s="152"/>
      <c r="AC22" s="164" t="s">
        <v>188</v>
      </c>
      <c r="AD22" s="164">
        <v>30</v>
      </c>
      <c r="AE22" s="165">
        <v>9</v>
      </c>
      <c r="AF22" s="165">
        <v>18</v>
      </c>
      <c r="AG22" s="165"/>
      <c r="AH22" s="164"/>
      <c r="AI22" s="164"/>
      <c r="AJ22" s="510"/>
      <c r="AK22" s="166">
        <f t="shared" ca="1" si="21"/>
        <v>30.284222222222223</v>
      </c>
      <c r="AL22" s="167">
        <f t="shared" ca="1" si="22"/>
        <v>10.463111111111111</v>
      </c>
      <c r="AM22" s="167">
        <f t="shared" ca="1" si="23"/>
        <v>19.821111111111112</v>
      </c>
      <c r="AN22" s="178"/>
      <c r="AO22" s="178"/>
      <c r="AP22" s="178"/>
      <c r="AQ22" s="169">
        <f t="shared" ca="1" si="24"/>
        <v>30.284222222222223</v>
      </c>
      <c r="AR22" s="170">
        <f ca="1">INDEX('Cap based on indoor unit SZ'!$J$6:$J$21,MATCH(AE22,'Cap based on indoor unit SZ'!$I$6:$I$21))</f>
        <v>10.463111111111111</v>
      </c>
      <c r="AS22" s="170">
        <f ca="1">INDEX('Cap based on indoor unit SZ'!$J$6:$J$21,MATCH(AF22,'Cap based on indoor unit SZ'!$I$6:$I$21))</f>
        <v>19.821111111111112</v>
      </c>
      <c r="AT22" s="179"/>
      <c r="AU22" s="179"/>
      <c r="AV22" s="179"/>
      <c r="AW22" s="169">
        <f t="shared" si="25"/>
        <v>27.5</v>
      </c>
      <c r="AX22" s="170">
        <v>9.5</v>
      </c>
      <c r="AY22" s="170">
        <v>18</v>
      </c>
      <c r="AZ22" s="179"/>
      <c r="BA22" s="179"/>
      <c r="BB22" s="179"/>
      <c r="BC22" s="172">
        <f t="shared" ca="1" si="26"/>
        <v>38.845555555555563</v>
      </c>
      <c r="BD22" s="173">
        <f t="shared" ca="1" si="27"/>
        <v>12.948518518518521</v>
      </c>
      <c r="BE22" s="173">
        <f t="shared" ca="1" si="28"/>
        <v>25.897037037037041</v>
      </c>
      <c r="BF22" s="180"/>
      <c r="BG22" s="180"/>
      <c r="BH22" s="180"/>
      <c r="BI22" s="166">
        <f t="shared" ca="1" si="29"/>
        <v>36.554841025641025</v>
      </c>
      <c r="BJ22" s="167">
        <f t="shared" ca="1" si="30"/>
        <v>11.956020512820512</v>
      </c>
      <c r="BK22" s="167">
        <f t="shared" ca="1" si="31"/>
        <v>24.598820512820513</v>
      </c>
      <c r="BL22" s="178"/>
      <c r="BM22" s="178"/>
      <c r="BN22" s="178"/>
      <c r="BO22" s="169">
        <f t="shared" ca="1" si="32"/>
        <v>36.554841025641025</v>
      </c>
      <c r="BP22" s="170">
        <f ca="1">INDEX('Cap based on indoor unit SZ'!$V$43:$V$58,MATCH(AE22,'Cap based on indoor unit SZ'!$U$43:$U$58))</f>
        <v>11.956020512820512</v>
      </c>
      <c r="BQ22" s="170">
        <f ca="1">INDEX('Cap based on indoor unit SZ'!$V$43:$V$58,MATCH(AF22,'Cap based on indoor unit SZ'!$U$43:$U$58))</f>
        <v>24.598820512820513</v>
      </c>
      <c r="BR22" s="179"/>
      <c r="BS22" s="179"/>
      <c r="BT22" s="179"/>
      <c r="BU22" s="175">
        <v>10000</v>
      </c>
      <c r="BV22" s="175">
        <v>18000</v>
      </c>
      <c r="BW22" s="179"/>
      <c r="BX22" s="179"/>
      <c r="BY22" s="179"/>
      <c r="BZ22" s="172">
        <f t="shared" ca="1" si="33"/>
        <v>37.129931623931618</v>
      </c>
      <c r="CA22" s="173">
        <f t="shared" ca="1" si="34"/>
        <v>12.376643874643873</v>
      </c>
      <c r="CB22" s="173">
        <f t="shared" ca="1" si="35"/>
        <v>24.753287749287747</v>
      </c>
      <c r="CC22" s="180"/>
      <c r="CD22" s="180"/>
      <c r="CE22" s="180"/>
      <c r="CF22" s="166">
        <f t="shared" ca="1" si="36"/>
        <v>24.227288545208332</v>
      </c>
      <c r="CG22" s="167">
        <f t="shared" ca="1" si="37"/>
        <v>8.3704580592944549</v>
      </c>
      <c r="CH22" s="167">
        <f t="shared" ca="1" si="38"/>
        <v>15.856830485913875</v>
      </c>
      <c r="CI22" s="178"/>
      <c r="CJ22" s="178"/>
      <c r="CK22" s="178"/>
    </row>
    <row r="23" spans="1:89">
      <c r="B23" s="182" t="s">
        <v>8</v>
      </c>
      <c r="S23" s="152"/>
      <c r="T23" s="152"/>
      <c r="AC23" s="164" t="s">
        <v>187</v>
      </c>
      <c r="AD23" s="164">
        <v>30</v>
      </c>
      <c r="AE23" s="165">
        <v>9</v>
      </c>
      <c r="AF23" s="165">
        <v>24</v>
      </c>
      <c r="AG23" s="165"/>
      <c r="AH23" s="164"/>
      <c r="AI23" s="164"/>
      <c r="AJ23" s="510"/>
      <c r="AK23" s="166">
        <f t="shared" ca="1" si="21"/>
        <v>34.915333333333329</v>
      </c>
      <c r="AL23" s="167">
        <f t="shared" ca="1" si="22"/>
        <v>10.463111111111111</v>
      </c>
      <c r="AM23" s="167">
        <f t="shared" ca="1" si="23"/>
        <v>24.452222222222218</v>
      </c>
      <c r="AN23" s="178"/>
      <c r="AO23" s="178"/>
      <c r="AP23" s="178"/>
      <c r="AQ23" s="169">
        <f t="shared" ca="1" si="24"/>
        <v>34.915333333333329</v>
      </c>
      <c r="AR23" s="170">
        <f ca="1">INDEX('Cap based on indoor unit SZ'!$J$6:$J$21,MATCH(AE23,'Cap based on indoor unit SZ'!$I$6:$I$21))</f>
        <v>10.463111111111111</v>
      </c>
      <c r="AS23" s="170">
        <f ca="1">INDEX('Cap based on indoor unit SZ'!$J$6:$J$21,MATCH(AF23,'Cap based on indoor unit SZ'!$I$6:$I$21))</f>
        <v>24.452222222222218</v>
      </c>
      <c r="AT23" s="179"/>
      <c r="AU23" s="179"/>
      <c r="AV23" s="179"/>
      <c r="AW23" s="169">
        <f t="shared" si="25"/>
        <v>33</v>
      </c>
      <c r="AX23" s="170">
        <v>9</v>
      </c>
      <c r="AY23" s="170">
        <v>24</v>
      </c>
      <c r="AZ23" s="179"/>
      <c r="BA23" s="179"/>
      <c r="BB23" s="179"/>
      <c r="BC23" s="172">
        <f t="shared" ca="1" si="26"/>
        <v>38.845555555555563</v>
      </c>
      <c r="BD23" s="173">
        <f t="shared" ca="1" si="27"/>
        <v>10.594242424242427</v>
      </c>
      <c r="BE23" s="173">
        <f t="shared" ca="1" si="28"/>
        <v>28.25131313131314</v>
      </c>
      <c r="BF23" s="180"/>
      <c r="BG23" s="180"/>
      <c r="BH23" s="180"/>
      <c r="BI23" s="166">
        <f t="shared" ca="1" si="29"/>
        <v>37.129931623931618</v>
      </c>
      <c r="BJ23" s="167">
        <f t="shared" ca="1" si="30"/>
        <v>10.126344988344988</v>
      </c>
      <c r="BK23" s="167">
        <f t="shared" ca="1" si="31"/>
        <v>27.003586635586633</v>
      </c>
      <c r="BL23" s="178"/>
      <c r="BM23" s="178"/>
      <c r="BN23" s="178"/>
      <c r="BO23" s="169">
        <f t="shared" ca="1" si="32"/>
        <v>42.246020512820515</v>
      </c>
      <c r="BP23" s="170">
        <f ca="1">INDEX('Cap based on indoor unit SZ'!$V$43:$V$58,MATCH(AE23,'Cap based on indoor unit SZ'!$U$43:$U$58))</f>
        <v>11.956020512820512</v>
      </c>
      <c r="BQ23" s="170">
        <f ca="1">INDEX('Cap based on indoor unit SZ'!$V$43:$V$58,MATCH(AF23,'Cap based on indoor unit SZ'!$U$43:$U$58))</f>
        <v>30.290000000000003</v>
      </c>
      <c r="BR23" s="179"/>
      <c r="BS23" s="179"/>
      <c r="BT23" s="179"/>
      <c r="BU23" s="175">
        <v>10000</v>
      </c>
      <c r="BV23" s="175">
        <v>25000</v>
      </c>
      <c r="BW23" s="179"/>
      <c r="BX23" s="179"/>
      <c r="BY23" s="179"/>
      <c r="BZ23" s="172">
        <f t="shared" ca="1" si="33"/>
        <v>37.129931623931618</v>
      </c>
      <c r="CA23" s="173">
        <f t="shared" ca="1" si="34"/>
        <v>10.126344988344988</v>
      </c>
      <c r="CB23" s="173">
        <f t="shared" ca="1" si="35"/>
        <v>27.003586635586633</v>
      </c>
      <c r="CC23" s="180"/>
      <c r="CD23" s="180"/>
      <c r="CE23" s="180"/>
      <c r="CF23" s="166">
        <f t="shared" ca="1" si="36"/>
        <v>27.932163788511708</v>
      </c>
      <c r="CG23" s="167">
        <f t="shared" ca="1" si="37"/>
        <v>8.3704580592944549</v>
      </c>
      <c r="CH23" s="167">
        <f t="shared" ca="1" si="38"/>
        <v>19.561705729217252</v>
      </c>
      <c r="CI23" s="178"/>
      <c r="CJ23" s="178"/>
      <c r="CK23" s="178"/>
    </row>
    <row r="24" spans="1:89">
      <c r="B24" s="502" t="s">
        <v>9</v>
      </c>
      <c r="C24" s="504" t="s">
        <v>1</v>
      </c>
      <c r="D24" s="504"/>
      <c r="E24" s="504"/>
      <c r="F24" s="505" t="s">
        <v>10</v>
      </c>
      <c r="G24" s="506"/>
      <c r="H24" s="506"/>
      <c r="I24" s="506"/>
      <c r="J24" s="506"/>
      <c r="K24" s="506"/>
      <c r="L24" s="506"/>
      <c r="M24" s="506"/>
      <c r="N24" s="506"/>
      <c r="O24" s="506"/>
      <c r="P24" s="506"/>
      <c r="Q24" s="507"/>
      <c r="R24" s="152"/>
      <c r="S24" s="181"/>
      <c r="T24" s="152"/>
      <c r="U24" s="183"/>
      <c r="X24" s="152"/>
      <c r="Y24" s="152"/>
      <c r="AC24" s="164" t="s">
        <v>227</v>
      </c>
      <c r="AD24" s="164">
        <v>30</v>
      </c>
      <c r="AE24" s="165">
        <v>12</v>
      </c>
      <c r="AF24" s="165">
        <v>12</v>
      </c>
      <c r="AG24" s="165"/>
      <c r="AH24" s="164"/>
      <c r="AI24" s="164"/>
      <c r="AJ24" s="501"/>
      <c r="AK24" s="166">
        <f t="shared" ca="1" si="21"/>
        <v>26.157777777777781</v>
      </c>
      <c r="AL24" s="167">
        <f t="shared" ca="1" si="22"/>
        <v>13.078888888888891</v>
      </c>
      <c r="AM24" s="167">
        <f t="shared" ca="1" si="23"/>
        <v>13.078888888888891</v>
      </c>
      <c r="AN24" s="178"/>
      <c r="AO24" s="178"/>
      <c r="AP24" s="178"/>
      <c r="AQ24" s="169">
        <f t="shared" ca="1" si="24"/>
        <v>26.157777777777781</v>
      </c>
      <c r="AR24" s="170">
        <f ca="1">INDEX('Cap based on indoor unit SZ'!$J$6:$J$21,MATCH(AE24,'Cap based on indoor unit SZ'!$I$6:$I$21))</f>
        <v>13.078888888888891</v>
      </c>
      <c r="AS24" s="170">
        <f ca="1">INDEX('Cap based on indoor unit SZ'!$J$6:$J$21,MATCH(AF24,'Cap based on indoor unit SZ'!$I$6:$I$21))</f>
        <v>13.078888888888891</v>
      </c>
      <c r="AT24" s="179"/>
      <c r="AU24" s="179"/>
      <c r="AV24" s="179"/>
      <c r="AW24" s="169">
        <f t="shared" si="25"/>
        <v>24</v>
      </c>
      <c r="AX24" s="170">
        <v>12</v>
      </c>
      <c r="AY24" s="170">
        <v>12</v>
      </c>
      <c r="AZ24" s="179"/>
      <c r="BA24" s="179"/>
      <c r="BB24" s="179"/>
      <c r="BC24" s="172">
        <f t="shared" ca="1" si="26"/>
        <v>38.845555555555563</v>
      </c>
      <c r="BD24" s="173">
        <f t="shared" ca="1" si="27"/>
        <v>19.422777777777782</v>
      </c>
      <c r="BE24" s="173">
        <f t="shared" ca="1" si="28"/>
        <v>19.422777777777782</v>
      </c>
      <c r="BF24" s="180"/>
      <c r="BG24" s="180"/>
      <c r="BH24" s="180"/>
      <c r="BI24" s="166">
        <f t="shared" ca="1" si="29"/>
        <v>29.890051282051282</v>
      </c>
      <c r="BJ24" s="167">
        <f t="shared" ca="1" si="30"/>
        <v>14.945025641025641</v>
      </c>
      <c r="BK24" s="167">
        <f t="shared" ca="1" si="31"/>
        <v>14.945025641025641</v>
      </c>
      <c r="BL24" s="178"/>
      <c r="BM24" s="178"/>
      <c r="BN24" s="178"/>
      <c r="BO24" s="169">
        <f t="shared" ca="1" si="32"/>
        <v>29.890051282051282</v>
      </c>
      <c r="BP24" s="170">
        <f ca="1">INDEX('Cap based on indoor unit SZ'!$V$43:$V$58,MATCH(AE24,'Cap based on indoor unit SZ'!$U$43:$U$58))</f>
        <v>14.945025641025641</v>
      </c>
      <c r="BQ24" s="170">
        <f ca="1">INDEX('Cap based on indoor unit SZ'!$V$43:$V$58,MATCH(AF24,'Cap based on indoor unit SZ'!$U$43:$U$58))</f>
        <v>14.945025641025641</v>
      </c>
      <c r="BR24" s="179"/>
      <c r="BS24" s="179"/>
      <c r="BT24" s="179"/>
      <c r="BU24" s="175">
        <v>13000</v>
      </c>
      <c r="BV24" s="175">
        <v>13000</v>
      </c>
      <c r="BW24" s="179"/>
      <c r="BX24" s="179"/>
      <c r="BY24" s="179"/>
      <c r="BZ24" s="172">
        <f t="shared" ca="1" si="33"/>
        <v>37.129931623931618</v>
      </c>
      <c r="CA24" s="173">
        <f t="shared" ca="1" si="34"/>
        <v>18.564965811965809</v>
      </c>
      <c r="CB24" s="173">
        <f t="shared" ca="1" si="35"/>
        <v>18.564965811965809</v>
      </c>
      <c r="CC24" s="180"/>
      <c r="CD24" s="180"/>
      <c r="CE24" s="180"/>
      <c r="CF24" s="166">
        <f t="shared" ca="1" si="36"/>
        <v>20.926145148236138</v>
      </c>
      <c r="CG24" s="167">
        <f t="shared" ca="1" si="37"/>
        <v>10.463072574118069</v>
      </c>
      <c r="CH24" s="167">
        <f t="shared" ca="1" si="38"/>
        <v>10.463072574118069</v>
      </c>
      <c r="CI24" s="178"/>
      <c r="CJ24" s="178"/>
      <c r="CK24" s="178"/>
    </row>
    <row r="25" spans="1:89">
      <c r="B25" s="502"/>
      <c r="C25" s="502" t="s">
        <v>11</v>
      </c>
      <c r="D25" s="502"/>
      <c r="E25" s="508"/>
      <c r="R25" s="152"/>
      <c r="T25" s="152"/>
      <c r="U25" s="183"/>
      <c r="X25" s="152"/>
      <c r="Y25" s="152"/>
      <c r="AA25" s="293"/>
      <c r="AC25" s="164" t="s">
        <v>224</v>
      </c>
      <c r="AD25" s="164">
        <v>30</v>
      </c>
      <c r="AE25" s="165">
        <v>12</v>
      </c>
      <c r="AF25" s="165">
        <v>18</v>
      </c>
      <c r="AG25" s="165"/>
      <c r="AH25" s="164"/>
      <c r="AI25" s="164"/>
      <c r="AJ25" s="501"/>
      <c r="AK25" s="166">
        <f t="shared" ca="1" si="21"/>
        <v>32.900000000000006</v>
      </c>
      <c r="AL25" s="167">
        <f t="shared" ca="1" si="22"/>
        <v>13.078888888888891</v>
      </c>
      <c r="AM25" s="167">
        <f t="shared" ca="1" si="23"/>
        <v>19.821111111111112</v>
      </c>
      <c r="AN25" s="178"/>
      <c r="AO25" s="178"/>
      <c r="AP25" s="178"/>
      <c r="AQ25" s="169">
        <f t="shared" ca="1" si="24"/>
        <v>32.900000000000006</v>
      </c>
      <c r="AR25" s="170">
        <f ca="1">INDEX('Cap based on indoor unit SZ'!$J$6:$J$21,MATCH(AE25,'Cap based on indoor unit SZ'!$I$6:$I$21))</f>
        <v>13.078888888888891</v>
      </c>
      <c r="AS25" s="170">
        <f ca="1">INDEX('Cap based on indoor unit SZ'!$J$6:$J$21,MATCH(AF25,'Cap based on indoor unit SZ'!$I$6:$I$21))</f>
        <v>19.821111111111112</v>
      </c>
      <c r="AT25" s="179"/>
      <c r="AU25" s="179"/>
      <c r="AV25" s="179"/>
      <c r="AW25" s="169">
        <f t="shared" si="25"/>
        <v>30</v>
      </c>
      <c r="AX25" s="170">
        <v>12</v>
      </c>
      <c r="AY25" s="170">
        <v>18</v>
      </c>
      <c r="AZ25" s="179"/>
      <c r="BA25" s="179"/>
      <c r="BB25" s="179"/>
      <c r="BC25" s="172">
        <f t="shared" ca="1" si="26"/>
        <v>38.845555555555563</v>
      </c>
      <c r="BD25" s="173">
        <f t="shared" ca="1" si="27"/>
        <v>15.538222222222226</v>
      </c>
      <c r="BE25" s="173">
        <f t="shared" ca="1" si="28"/>
        <v>23.307333333333339</v>
      </c>
      <c r="BF25" s="180"/>
      <c r="BG25" s="180"/>
      <c r="BH25" s="180"/>
      <c r="BI25" s="166">
        <f t="shared" ca="1" si="29"/>
        <v>37.129931623931625</v>
      </c>
      <c r="BJ25" s="167">
        <f t="shared" ca="1" si="30"/>
        <v>14.851972649572648</v>
      </c>
      <c r="BK25" s="167">
        <f t="shared" ca="1" si="31"/>
        <v>22.277958974358974</v>
      </c>
      <c r="BL25" s="178"/>
      <c r="BM25" s="178"/>
      <c r="BN25" s="178"/>
      <c r="BO25" s="169">
        <f t="shared" ca="1" si="32"/>
        <v>39.543846153846154</v>
      </c>
      <c r="BP25" s="170">
        <f ca="1">INDEX('Cap based on indoor unit SZ'!$V$43:$V$58,MATCH(AE25,'Cap based on indoor unit SZ'!$U$43:$U$58))</f>
        <v>14.945025641025641</v>
      </c>
      <c r="BQ25" s="170">
        <f ca="1">INDEX('Cap based on indoor unit SZ'!$V$43:$V$58,MATCH(AF25,'Cap based on indoor unit SZ'!$U$43:$U$58))</f>
        <v>24.598820512820513</v>
      </c>
      <c r="BR25" s="179"/>
      <c r="BS25" s="179"/>
      <c r="BT25" s="179"/>
      <c r="BU25" s="175">
        <v>13000</v>
      </c>
      <c r="BV25" s="175">
        <v>18000</v>
      </c>
      <c r="BW25" s="179"/>
      <c r="BX25" s="179"/>
      <c r="BY25" s="179"/>
      <c r="BZ25" s="172">
        <f t="shared" ca="1" si="33"/>
        <v>37.129931623931625</v>
      </c>
      <c r="CA25" s="173">
        <f t="shared" ca="1" si="34"/>
        <v>14.851972649572648</v>
      </c>
      <c r="CB25" s="173">
        <f t="shared" ca="1" si="35"/>
        <v>22.277958974358974</v>
      </c>
      <c r="CC25" s="180"/>
      <c r="CD25" s="180"/>
      <c r="CE25" s="180"/>
      <c r="CF25" s="166">
        <f t="shared" ca="1" si="36"/>
        <v>26.319903060031944</v>
      </c>
      <c r="CG25" s="167">
        <f t="shared" ca="1" si="37"/>
        <v>10.463072574118069</v>
      </c>
      <c r="CH25" s="167">
        <f t="shared" ca="1" si="38"/>
        <v>15.856830485913875</v>
      </c>
      <c r="CI25" s="178"/>
      <c r="CJ25" s="178"/>
      <c r="CK25" s="178"/>
    </row>
    <row r="26" spans="1:89" ht="14.4" thickBot="1">
      <c r="B26" s="503"/>
      <c r="C26" s="184" t="s">
        <v>13</v>
      </c>
      <c r="D26" s="184" t="s">
        <v>14</v>
      </c>
      <c r="E26" s="509"/>
      <c r="F26" s="185">
        <v>-13</v>
      </c>
      <c r="G26" s="185">
        <v>-4</v>
      </c>
      <c r="H26" s="186">
        <v>0</v>
      </c>
      <c r="I26" s="186">
        <v>5</v>
      </c>
      <c r="J26" s="186">
        <v>17</v>
      </c>
      <c r="K26" s="186">
        <v>47</v>
      </c>
      <c r="L26" s="187">
        <v>77</v>
      </c>
      <c r="M26" s="187">
        <v>86</v>
      </c>
      <c r="N26" s="187">
        <v>95</v>
      </c>
      <c r="O26" s="187">
        <v>104</v>
      </c>
      <c r="P26" s="187">
        <v>113</v>
      </c>
      <c r="Q26" s="187">
        <v>122.0001</v>
      </c>
      <c r="S26" s="152"/>
      <c r="V26" s="154" t="s">
        <v>98</v>
      </c>
      <c r="W26" s="154" t="s">
        <v>76</v>
      </c>
      <c r="X26" s="154" t="s">
        <v>99</v>
      </c>
      <c r="AC26" s="164" t="s">
        <v>184</v>
      </c>
      <c r="AD26" s="164">
        <v>30</v>
      </c>
      <c r="AE26" s="165">
        <v>12</v>
      </c>
      <c r="AF26" s="165">
        <v>24</v>
      </c>
      <c r="AG26" s="165"/>
      <c r="AH26" s="164"/>
      <c r="AI26" s="164"/>
      <c r="AJ26" s="501"/>
      <c r="AK26" s="166">
        <f t="shared" ca="1" si="21"/>
        <v>37.400740740740737</v>
      </c>
      <c r="AL26" s="167">
        <f t="shared" ca="1" si="22"/>
        <v>12.948518518518521</v>
      </c>
      <c r="AM26" s="167">
        <f t="shared" ca="1" si="23"/>
        <v>24.452222222222218</v>
      </c>
      <c r="AN26" s="178"/>
      <c r="AO26" s="178"/>
      <c r="AP26" s="178"/>
      <c r="AQ26" s="169">
        <f t="shared" ca="1" si="24"/>
        <v>37.531111111111109</v>
      </c>
      <c r="AR26" s="170">
        <f ca="1">INDEX('Cap based on indoor unit SZ'!$J$6:$J$21,MATCH(AE26,'Cap based on indoor unit SZ'!$I$6:$I$21))</f>
        <v>13.078888888888891</v>
      </c>
      <c r="AS26" s="170">
        <f ca="1">INDEX('Cap based on indoor unit SZ'!$J$6:$J$21,MATCH(AF26,'Cap based on indoor unit SZ'!$I$6:$I$21))</f>
        <v>24.452222222222218</v>
      </c>
      <c r="AT26" s="179"/>
      <c r="AU26" s="179"/>
      <c r="AV26" s="179"/>
      <c r="AW26" s="169">
        <f t="shared" si="25"/>
        <v>34</v>
      </c>
      <c r="AX26" s="170">
        <v>11</v>
      </c>
      <c r="AY26" s="170">
        <v>23</v>
      </c>
      <c r="AZ26" s="179"/>
      <c r="BA26" s="179"/>
      <c r="BB26" s="179"/>
      <c r="BC26" s="172">
        <f t="shared" ca="1" si="26"/>
        <v>38.845555555555563</v>
      </c>
      <c r="BD26" s="173">
        <f t="shared" ca="1" si="27"/>
        <v>12.948518518518521</v>
      </c>
      <c r="BE26" s="173">
        <f t="shared" ca="1" si="28"/>
        <v>25.897037037037041</v>
      </c>
      <c r="BF26" s="180"/>
      <c r="BG26" s="180"/>
      <c r="BH26" s="180"/>
      <c r="BI26" s="166">
        <f t="shared" ca="1" si="29"/>
        <v>37.129931623931611</v>
      </c>
      <c r="BJ26" s="167">
        <f t="shared" ca="1" si="30"/>
        <v>12.376643874643872</v>
      </c>
      <c r="BK26" s="167">
        <f t="shared" ca="1" si="31"/>
        <v>24.753287749287743</v>
      </c>
      <c r="BL26" s="178"/>
      <c r="BM26" s="178"/>
      <c r="BN26" s="178"/>
      <c r="BO26" s="169">
        <f t="shared" ca="1" si="32"/>
        <v>45.235025641025643</v>
      </c>
      <c r="BP26" s="170">
        <f ca="1">INDEX('Cap based on indoor unit SZ'!$V$43:$V$58,MATCH(AE26,'Cap based on indoor unit SZ'!$U$43:$U$58))</f>
        <v>14.945025641025641</v>
      </c>
      <c r="BQ26" s="170">
        <f ca="1">INDEX('Cap based on indoor unit SZ'!$V$43:$V$58,MATCH(AF26,'Cap based on indoor unit SZ'!$U$43:$U$58))</f>
        <v>30.290000000000003</v>
      </c>
      <c r="BR26" s="179"/>
      <c r="BS26" s="179"/>
      <c r="BT26" s="179"/>
      <c r="BU26" s="175">
        <v>12000</v>
      </c>
      <c r="BV26" s="175">
        <v>24000</v>
      </c>
      <c r="BW26" s="179"/>
      <c r="BX26" s="179"/>
      <c r="BY26" s="179"/>
      <c r="BZ26" s="172">
        <f t="shared" ca="1" si="33"/>
        <v>37.129931623931611</v>
      </c>
      <c r="CA26" s="173">
        <f t="shared" ca="1" si="34"/>
        <v>12.376643874643872</v>
      </c>
      <c r="CB26" s="173">
        <f t="shared" ca="1" si="35"/>
        <v>24.753287749287743</v>
      </c>
      <c r="CC26" s="180"/>
      <c r="CD26" s="180"/>
      <c r="CE26" s="180"/>
      <c r="CF26" s="166">
        <f t="shared" ca="1" si="36"/>
        <v>29.920482391175788</v>
      </c>
      <c r="CG26" s="167">
        <f t="shared" ca="1" si="37"/>
        <v>10.358776661958537</v>
      </c>
      <c r="CH26" s="167">
        <f t="shared" ca="1" si="38"/>
        <v>19.561705729217252</v>
      </c>
      <c r="CI26" s="178"/>
      <c r="CJ26" s="178"/>
      <c r="CK26" s="178"/>
    </row>
    <row r="27" spans="1:89">
      <c r="B27" s="188">
        <v>18</v>
      </c>
      <c r="C27" s="189">
        <v>69.8</v>
      </c>
      <c r="D27" s="189">
        <v>59</v>
      </c>
      <c r="E27" s="190" t="s">
        <v>15</v>
      </c>
      <c r="F27" s="191">
        <v>19.12</v>
      </c>
      <c r="G27" s="192">
        <v>19.86</v>
      </c>
      <c r="H27" s="192">
        <v>19.66</v>
      </c>
      <c r="I27" s="192">
        <v>19.260000000000002</v>
      </c>
      <c r="J27" s="192">
        <v>18.87</v>
      </c>
      <c r="K27" s="192">
        <v>20.69</v>
      </c>
      <c r="L27" s="193">
        <v>21.78</v>
      </c>
      <c r="M27" s="193">
        <v>19.940000000000001</v>
      </c>
      <c r="N27" s="193">
        <v>17.920000000000002</v>
      </c>
      <c r="O27" s="193">
        <v>12</v>
      </c>
      <c r="P27" s="193">
        <v>11.58</v>
      </c>
      <c r="Q27" s="194">
        <v>9.89</v>
      </c>
      <c r="R27" s="195">
        <f t="shared" ref="R27:R46" ca="1" si="39">FORECAST(Cool_Design_T,OFFSET(F27:Q27,0,MATCH(Cool_Design_T,$F$26:$Q$26,1)-1,1,2),OFFSET($F$26:$Q$26,0,MATCH(Cool_Design_T,$F$26:$Q$26,1)-1,1,2))</f>
        <v>17.920000000000016</v>
      </c>
      <c r="S27" s="145"/>
      <c r="T27" s="145"/>
      <c r="U27" s="146" t="s">
        <v>96</v>
      </c>
      <c r="V27" s="147">
        <f ca="1">FORECAST(INDOOR_DB,OFFSET(R27:R30,MATCH(INDOOR_DB,C27:C30,1)-1,0,2),OFFSET(C27:C30,MATCH(INDOOR_DB,C27:C30,1)-1,0,2))</f>
        <v>21.296666666666674</v>
      </c>
      <c r="W27" s="145">
        <f>B27</f>
        <v>18</v>
      </c>
      <c r="X27" s="147">
        <f ca="1">IF(OR(INDOOR_DB&lt;C27,INDOOR_DB&gt;C30),V29,V27)</f>
        <v>21.296666666666674</v>
      </c>
      <c r="Y27" s="152"/>
      <c r="AC27" s="164" t="s">
        <v>183</v>
      </c>
      <c r="AD27" s="164">
        <v>30</v>
      </c>
      <c r="AE27" s="165">
        <v>18</v>
      </c>
      <c r="AF27" s="165">
        <v>18</v>
      </c>
      <c r="AG27" s="165"/>
      <c r="AH27" s="164"/>
      <c r="AI27" s="164"/>
      <c r="AJ27" s="501"/>
      <c r="AK27" s="166">
        <f t="shared" ca="1" si="21"/>
        <v>38.845555555555563</v>
      </c>
      <c r="AL27" s="167">
        <f t="shared" ca="1" si="22"/>
        <v>19.422777777777782</v>
      </c>
      <c r="AM27" s="167">
        <f t="shared" ca="1" si="23"/>
        <v>19.422777777777782</v>
      </c>
      <c r="AN27" s="178"/>
      <c r="AO27" s="178"/>
      <c r="AP27" s="178"/>
      <c r="AQ27" s="169">
        <f t="shared" ca="1" si="24"/>
        <v>39.642222222222223</v>
      </c>
      <c r="AR27" s="170">
        <f ca="1">INDEX('Cap based on indoor unit SZ'!$J$6:$J$21,MATCH(AE27,'Cap based on indoor unit SZ'!$I$6:$I$21))</f>
        <v>19.821111111111112</v>
      </c>
      <c r="AS27" s="170">
        <f ca="1">INDEX('Cap based on indoor unit SZ'!$J$6:$J$21,MATCH(AF27,'Cap based on indoor unit SZ'!$I$6:$I$21))</f>
        <v>19.821111111111112</v>
      </c>
      <c r="AT27" s="179"/>
      <c r="AU27" s="179"/>
      <c r="AV27" s="179"/>
      <c r="AW27" s="169">
        <f t="shared" si="25"/>
        <v>33</v>
      </c>
      <c r="AX27" s="170">
        <v>16.5</v>
      </c>
      <c r="AY27" s="170">
        <v>16.5</v>
      </c>
      <c r="AZ27" s="179"/>
      <c r="BA27" s="179"/>
      <c r="BB27" s="179"/>
      <c r="BC27" s="172">
        <f t="shared" ca="1" si="26"/>
        <v>38.845555555555563</v>
      </c>
      <c r="BD27" s="173">
        <f t="shared" ca="1" si="27"/>
        <v>19.422777777777782</v>
      </c>
      <c r="BE27" s="173">
        <f t="shared" ca="1" si="28"/>
        <v>19.422777777777782</v>
      </c>
      <c r="BF27" s="180"/>
      <c r="BG27" s="180"/>
      <c r="BH27" s="180"/>
      <c r="BI27" s="166">
        <f t="shared" ca="1" si="29"/>
        <v>37.129931623931618</v>
      </c>
      <c r="BJ27" s="167">
        <f t="shared" ca="1" si="30"/>
        <v>18.564965811965809</v>
      </c>
      <c r="BK27" s="167">
        <f t="shared" ca="1" si="31"/>
        <v>18.564965811965809</v>
      </c>
      <c r="BL27" s="178"/>
      <c r="BM27" s="178"/>
      <c r="BN27" s="178"/>
      <c r="BO27" s="169">
        <f t="shared" ca="1" si="32"/>
        <v>49.197641025641026</v>
      </c>
      <c r="BP27" s="170">
        <f ca="1">INDEX('Cap based on indoor unit SZ'!$V$43:$V$58,MATCH(AE27,'Cap based on indoor unit SZ'!$U$43:$U$58))</f>
        <v>24.598820512820513</v>
      </c>
      <c r="BQ27" s="170">
        <f ca="1">INDEX('Cap based on indoor unit SZ'!$V$43:$V$58,MATCH(AF27,'Cap based on indoor unit SZ'!$U$43:$U$58))</f>
        <v>24.598820512820513</v>
      </c>
      <c r="BR27" s="179"/>
      <c r="BS27" s="179"/>
      <c r="BT27" s="179"/>
      <c r="BU27" s="175">
        <v>17000</v>
      </c>
      <c r="BV27" s="175">
        <v>17000</v>
      </c>
      <c r="BW27" s="179"/>
      <c r="BX27" s="179"/>
      <c r="BY27" s="179"/>
      <c r="BZ27" s="172">
        <f t="shared" ca="1" si="33"/>
        <v>37.129931623931618</v>
      </c>
      <c r="CA27" s="173">
        <f t="shared" ca="1" si="34"/>
        <v>18.564965811965809</v>
      </c>
      <c r="CB27" s="173">
        <f t="shared" ca="1" si="35"/>
        <v>18.564965811965809</v>
      </c>
      <c r="CC27" s="180"/>
      <c r="CD27" s="180"/>
      <c r="CE27" s="180"/>
      <c r="CF27" s="166">
        <f t="shared" ca="1" si="36"/>
        <v>31.076329985875613</v>
      </c>
      <c r="CG27" s="167">
        <f t="shared" ca="1" si="37"/>
        <v>15.538164992937807</v>
      </c>
      <c r="CH27" s="167">
        <f t="shared" ca="1" si="38"/>
        <v>15.538164992937807</v>
      </c>
      <c r="CI27" s="178"/>
      <c r="CJ27" s="178"/>
      <c r="CK27" s="178"/>
    </row>
    <row r="28" spans="1:89">
      <c r="B28" s="196">
        <v>18</v>
      </c>
      <c r="C28" s="197">
        <v>75.2</v>
      </c>
      <c r="D28" s="197">
        <v>62.6</v>
      </c>
      <c r="E28" s="198" t="s">
        <v>15</v>
      </c>
      <c r="F28" s="199">
        <v>20.54</v>
      </c>
      <c r="G28" s="200">
        <v>21.45</v>
      </c>
      <c r="H28" s="200">
        <v>21.23</v>
      </c>
      <c r="I28" s="200">
        <v>20.81</v>
      </c>
      <c r="J28" s="200">
        <v>20.38</v>
      </c>
      <c r="K28" s="200">
        <v>22.35</v>
      </c>
      <c r="L28" s="201">
        <v>23.52</v>
      </c>
      <c r="M28" s="201">
        <v>21.54</v>
      </c>
      <c r="N28" s="201">
        <v>19.350000000000001</v>
      </c>
      <c r="O28" s="201">
        <v>12.96</v>
      </c>
      <c r="P28" s="201">
        <v>12.51</v>
      </c>
      <c r="Q28" s="202">
        <v>10.130000000000001</v>
      </c>
      <c r="R28" s="203">
        <f t="shared" ca="1" si="39"/>
        <v>19.350000000000009</v>
      </c>
      <c r="S28" s="145"/>
      <c r="T28" s="145"/>
      <c r="U28" s="146"/>
      <c r="V28" s="148"/>
      <c r="W28" s="145"/>
      <c r="X28" s="152"/>
      <c r="Y28" s="152"/>
      <c r="AC28" s="164" t="s">
        <v>222</v>
      </c>
      <c r="AD28" s="164">
        <v>30</v>
      </c>
      <c r="AE28" s="165">
        <v>9</v>
      </c>
      <c r="AF28" s="165">
        <v>9</v>
      </c>
      <c r="AG28" s="165">
        <v>9</v>
      </c>
      <c r="AH28" s="164"/>
      <c r="AI28" s="164"/>
      <c r="AJ28" s="510">
        <v>3</v>
      </c>
      <c r="AK28" s="166">
        <f t="shared" ca="1" si="21"/>
        <v>31.389333333333333</v>
      </c>
      <c r="AL28" s="167">
        <f t="shared" ref="AL28:AL39" ca="1" si="40">IF((INDEX($AA$4:$AA$7,MATCH(INDOOR_1,$Z$4:$Z$7))*(INDEX($X$27:$X$46,MATCH($AD28,$W$27:$W$46,1))/(INDEX($AA$4:$AA$7,MATCH(INDOOR_1,$Z$4:$Z$7))+INDEX($AA$4:$AA$7,MATCH(INDOOR_2,$Z$4:$Z$7))+INDEX($AA$4:$AA$7,MATCH(INDOOR_3,$Z$4:$Z$7)))))
&gt;AR28,AR28,
(INDEX($AA$4:$AA$7,MATCH(INDOOR_1,$Z$4:$Z$7))*(INDEX($X$27:$X$46,MATCH($AD28,$W$27:$W$46,1))/(INDEX($AA$4:$AA$7,MATCH(INDOOR_1,$Z$4:$Z$7))+INDEX($AA$4:$AA$7,MATCH(INDOOR_2,$Z$4:$Z$7))+INDEX($AA$4:$AA$7,MATCH(INDOOR_3,$Z$4:$Z$7))))))</f>
        <v>10.463111111111111</v>
      </c>
      <c r="AM28" s="167">
        <f t="shared" ref="AM28:AM39" ca="1" si="41">IF((INDEX($AA$4:$AA$7,MATCH(INDOOR_2,$Z$4:$Z$7))*(INDEX($X$27:$X$46,MATCH($AD28,$W$27:$W$46,1))/(INDEX($AA$4:$AA$7,MATCH(INDOOR_1,$Z$4:$Z$7))+INDEX($AA$4:$AA$7,MATCH(INDOOR_2,$Z$4:$Z$7))+INDEX($AA$4:$AA$7,MATCH(INDOOR_3,$Z$4:$Z$7)))))
&gt;AS28,AS28,
(INDEX($AA$4:$AA$7,MATCH(INDOOR_2,$Z$4:$Z$7))*(INDEX($X$27:$X$46,MATCH($AD28,$W$27:$W$46,1))/(INDEX($AA$4:$AA$7,MATCH(INDOOR_1,$Z$4:$Z$7))+INDEX($AA$4:$AA$7,MATCH(INDOOR_2,$Z$4:$Z$7))+INDEX($AA$4:$AA$7,MATCH(INDOOR_3,$Z$4:$Z$7))))))</f>
        <v>10.463111111111111</v>
      </c>
      <c r="AN28" s="167">
        <f t="shared" ref="AN28:AN39" ca="1" si="42">IF((INDEX($AA$4:$AA$7,MATCH(INDOOR_3,$Z$4:$Z$7))*(INDEX($X$27:$X$46,MATCH($AD28,$W$27:$W$46,1))/(INDEX($AA$4:$AA$7,MATCH(INDOOR_1,$Z$4:$Z$7))+INDEX($AA$4:$AA$7,MATCH(INDOOR_2,$Z$4:$Z$7))+INDEX($AA$4:$AA$7,MATCH(INDOOR_3,$Z$4:$Z$7)))))
&gt;AT28,AT28,
(INDEX($AA$4:$AA$7,MATCH(INDOOR_3,$Z$4:$Z$7))*(INDEX($X$27:$X$46,MATCH($AD28,$W$27:$W$46,1))/(INDEX($AA$4:$AA$7,MATCH(INDOOR_1,$Z$4:$Z$7))+INDEX($AA$4:$AA$7,MATCH(INDOOR_2,$Z$4:$Z$7))+INDEX($AA$4:$AA$7,MATCH(INDOOR_3,$Z$4:$Z$7))))))</f>
        <v>10.463111111111111</v>
      </c>
      <c r="AO28" s="178"/>
      <c r="AP28" s="178"/>
      <c r="AQ28" s="169">
        <f t="shared" ca="1" si="24"/>
        <v>31.389333333333333</v>
      </c>
      <c r="AR28" s="170">
        <f ca="1">INDEX('Cap based on indoor unit SZ'!$J$6:$J$21,MATCH(AE28,'Cap based on indoor unit SZ'!$I$6:$I$21))</f>
        <v>10.463111111111111</v>
      </c>
      <c r="AS28" s="170">
        <f ca="1">INDEX('Cap based on indoor unit SZ'!$J$6:$J$21,MATCH(AF28,'Cap based on indoor unit SZ'!$I$6:$I$21))</f>
        <v>10.463111111111111</v>
      </c>
      <c r="AT28" s="170">
        <f ca="1">INDEX('Cap based on indoor unit SZ'!$J$6:$J$21,MATCH(AG28,'Cap based on indoor unit SZ'!$I$6:$I$21))</f>
        <v>10.463111111111111</v>
      </c>
      <c r="AU28" s="179"/>
      <c r="AV28" s="179"/>
      <c r="AW28" s="169">
        <f t="shared" si="25"/>
        <v>27.999000000000002</v>
      </c>
      <c r="AX28" s="170">
        <v>9.3330000000000002</v>
      </c>
      <c r="AY28" s="170">
        <v>9.3330000000000002</v>
      </c>
      <c r="AZ28" s="170">
        <v>9.3330000000000002</v>
      </c>
      <c r="BA28" s="179"/>
      <c r="BB28" s="179"/>
      <c r="BC28" s="172">
        <f t="shared" ca="1" si="26"/>
        <v>38.845555555555563</v>
      </c>
      <c r="BD28" s="173">
        <f t="shared" ref="BD28:BD39" ca="1" si="43">(INDEX($AA$4:$AA$7,MATCH(AE28,$Z$4:$Z$7))*(INDEX($X$27:$X$46,MATCH($AD28,$W$27:$W$46,1))/(INDEX($AA$4:$AA$7,MATCH($AE28,$Z$4:$Z$7))+INDEX($AA$4:$AA$7,MATCH($AF28,$Z$4:$Z$7))+INDEX($AA$4:$AA$7,MATCH($AG28,$Z$4:$Z$7)))))</f>
        <v>12.948518518518521</v>
      </c>
      <c r="BE28" s="173">
        <f t="shared" ref="BE28:BE39" ca="1" si="44">(INDEX($AA$4:$AA$7,MATCH(AF28,$Z$4:$Z$7))*(INDEX($X$27:$X$46,MATCH($AD28,$W$27:$W$46,1))/(INDEX($AA$4:$AA$7,MATCH($AE28,$Z$4:$Z$7))+INDEX($AA$4:$AA$7,MATCH($AF28,$Z$4:$Z$7))+INDEX($AA$4:$AA$7,MATCH($AG28,$Z$4:$Z$7)))))</f>
        <v>12.948518518518521</v>
      </c>
      <c r="BF28" s="173">
        <f t="shared" ref="BF28:BF39" ca="1" si="45">(INDEX($AA$4:$AA$7,MATCH(AG28,$Z$4:$Z$7))*(INDEX($X$27:$X$46,MATCH($AD28,$W$27:$W$46,1))/(INDEX($AA$4:$AA$7,MATCH($AE28,$Z$4:$Z$7))+INDEX($AA$4:$AA$7,MATCH($AF28,$Z$4:$Z$7))+INDEX($AA$4:$AA$7,MATCH($AG28,$Z$4:$Z$7)))))</f>
        <v>12.948518518518521</v>
      </c>
      <c r="BG28" s="180"/>
      <c r="BH28" s="180"/>
      <c r="BI28" s="166">
        <f t="shared" ca="1" si="29"/>
        <v>35.868061538461532</v>
      </c>
      <c r="BJ28" s="167">
        <f t="shared" ref="BJ28:BJ39" ca="1" si="46">IF((INDEX($AA$4:$AA$7,MATCH(INDOOR_1,$Z$4:$Z$7))*(INDEX($X$118:$X$137,MATCH($AD28,$W$118:$W$137,1))/(INDEX($AA$4:$AA$7,MATCH(INDOOR_1,$Z$4:$Z$7))+INDEX($AA$4:$AA$7,MATCH(INDOOR_2,$Z$4:$Z$7))+INDEX($AA$4:$AA$7,MATCH(INDOOR_3,$Z$4:$Z$7)))))
&gt;BP28,BP28,
(INDEX($AA$4:$AA$7,MATCH(INDOOR_1,$Z$4:$Z$7))*(INDEX($X$118:$X$137,MATCH($AD28,$W$118:$W$137,1))/(INDEX($AA$4:$AA$7,MATCH(INDOOR_1,$Z$4:$Z$7))+INDEX($AA$4:$AA$7,MATCH(INDOOR_2,$Z$4:$Z$7))+INDEX($AA$4:$AA$7,MATCH(INDOOR_3,$Z$4:$Z$7))))))</f>
        <v>11.956020512820512</v>
      </c>
      <c r="BK28" s="167">
        <f t="shared" ref="BK28:BK39" ca="1" si="47">IF((INDEX($AA$4:$AA$7,MATCH(INDOOR_2,$Z$4:$Z$7))*(INDEX($X$118:$X$137,MATCH($AD28,$W$118:$W$137,1))/(INDEX($AA$4:$AA$7,MATCH(INDOOR_1,$Z$4:$Z$7))+INDEX($AA$4:$AA$7,MATCH(INDOOR_2,$Z$4:$Z$7))+INDEX($AA$4:$AA$7,MATCH(INDOOR_3,$Z$4:$Z$7)))))
&gt;BQ28,BQ28,
(INDEX($AA$4:$AA$7,MATCH(INDOOR_2,$Z$4:$Z$7))*(INDEX($X$118:$X$137,MATCH($AD28,$W$118:$W$137,1))/(INDEX($AA$4:$AA$7,MATCH(INDOOR_1,$Z$4:$Z$7))+INDEX($AA$4:$AA$7,MATCH(INDOOR_2,$Z$4:$Z$7))+INDEX($AA$4:$AA$7,MATCH(INDOOR_3,$Z$4:$Z$7))))))</f>
        <v>11.956020512820512</v>
      </c>
      <c r="BL28" s="167">
        <f t="shared" ref="BL28:BL39" ca="1" si="48">IF((INDEX($AA$4:$AA$7,MATCH(INDOOR_3,$Z$4:$Z$7))*(INDEX($X$118:$X$137,MATCH($AD28,$W$118:$W$137,1))/(INDEX($AA$4:$AA$7,MATCH(INDOOR_1,$Z$4:$Z$7))+INDEX($AA$4:$AA$7,MATCH(INDOOR_2,$Z$4:$Z$7))+INDEX($AA$4:$AA$7,MATCH(INDOOR_3,$Z$4:$Z$7)))))
&gt;BR28,BR28,
(INDEX($AA$4:$AA$7,MATCH(INDOOR_3,$Z$4:$Z$7))*(INDEX($X$118:$X$137,MATCH($AD28,$W$118:$W$137,1))/(INDEX($AA$4:$AA$7,MATCH(INDOOR_1,$Z$4:$Z$7))+INDEX($AA$4:$AA$7,MATCH(INDOOR_2,$Z$4:$Z$7))+INDEX($AA$4:$AA$7,MATCH(INDOOR_3,$Z$4:$Z$7))))))</f>
        <v>11.956020512820512</v>
      </c>
      <c r="BM28" s="178"/>
      <c r="BN28" s="178"/>
      <c r="BO28" s="169">
        <f t="shared" ca="1" si="32"/>
        <v>35.868061538461532</v>
      </c>
      <c r="BP28" s="170">
        <f ca="1">INDEX('Cap based on indoor unit SZ'!$V$43:$V$58,MATCH(AE28,'Cap based on indoor unit SZ'!$U$43:$U$58))</f>
        <v>11.956020512820512</v>
      </c>
      <c r="BQ28" s="170">
        <f ca="1">INDEX('Cap based on indoor unit SZ'!$V$43:$V$58,MATCH(AF28,'Cap based on indoor unit SZ'!$U$43:$U$58))</f>
        <v>11.956020512820512</v>
      </c>
      <c r="BR28" s="170">
        <f ca="1">INDEX('Cap based on indoor unit SZ'!$V$43:$V$58,MATCH(AG28,'Cap based on indoor unit SZ'!$U$43:$U$58))</f>
        <v>11.956020512820512</v>
      </c>
      <c r="BS28" s="179"/>
      <c r="BT28" s="179"/>
      <c r="BU28" s="175">
        <v>9667</v>
      </c>
      <c r="BV28" s="175">
        <v>9667</v>
      </c>
      <c r="BW28" s="175">
        <v>9667</v>
      </c>
      <c r="BX28" s="179"/>
      <c r="BY28" s="179"/>
      <c r="BZ28" s="172">
        <f t="shared" ca="1" si="33"/>
        <v>37.129931623931618</v>
      </c>
      <c r="CA28" s="173">
        <f t="shared" ref="CA28:CA39" ca="1" si="49">(INDEX($AA$4:$AA$7,MATCH(INDOOR_1,$Z$4:$Z$7))*(INDEX($X$118:$X$137,MATCH($AD28,$W$118:$W$137,1))/(INDEX($AA$4:$AA$7,MATCH(INDOOR_1,$Z$4:$Z$7))+INDEX($AA$4:$AA$7,MATCH(INDOOR_2,$Z$4:$Z$7))+INDEX($AA$4:$AA$7,MATCH(INDOOR_3,$Z$4:$Z$7)))))</f>
        <v>12.376643874643873</v>
      </c>
      <c r="CB28" s="173">
        <f t="shared" ref="CB28:CB39" ca="1" si="50">(INDEX($AA$4:$AA$7,MATCH(INDOOR_2,$Z$4:$Z$7))*(INDEX($X$118:$X$137,MATCH($AD28,$W$118:$W$137,1))/(INDEX($AA$4:$AA$7,MATCH(INDOOR_1,$Z$4:$Z$7))+INDEX($AA$4:$AA$7,MATCH(INDOOR_2,$Z$4:$Z$7))+INDEX($AA$4:$AA$7,MATCH(INDOOR_3,$Z$4:$Z$7)))))</f>
        <v>12.376643874643873</v>
      </c>
      <c r="CC28" s="173">
        <f t="shared" ref="CC28:CC39" ca="1" si="51">(INDEX($AA$4:$AA$7,MATCH(INDOOR_3,$Z$4:$Z$7))*(INDEX($X$118:$X$137,MATCH($AD28,$W$118:$W$137,1))/(INDEX($AA$4:$AA$7,MATCH(INDOOR_1,$Z$4:$Z$7))+INDEX($AA$4:$AA$7,MATCH(INDOOR_2,$Z$4:$Z$7))+INDEX($AA$4:$AA$7,MATCH(INDOOR_3,$Z$4:$Z$7)))))</f>
        <v>12.376643874643873</v>
      </c>
      <c r="CD28" s="180"/>
      <c r="CE28" s="180"/>
      <c r="CF28" s="166">
        <f t="shared" ca="1" si="36"/>
        <v>25.111374177883363</v>
      </c>
      <c r="CG28" s="167">
        <f t="shared" ca="1" si="37"/>
        <v>8.3704580592944549</v>
      </c>
      <c r="CH28" s="167">
        <f t="shared" ca="1" si="38"/>
        <v>8.3704580592944549</v>
      </c>
      <c r="CI28" s="167">
        <f t="shared" ref="CI28:CI46" ca="1" si="52">AN28*(INDEX($X$67:$X$86,MATCH($AD28,$W$67:$W$86,1)))</f>
        <v>8.3704580592944549</v>
      </c>
      <c r="CJ28" s="178"/>
      <c r="CK28" s="178"/>
    </row>
    <row r="29" spans="1:89">
      <c r="B29" s="196">
        <v>18</v>
      </c>
      <c r="C29" s="197">
        <v>80.599999999999994</v>
      </c>
      <c r="D29" s="197">
        <v>66.2</v>
      </c>
      <c r="E29" s="198" t="s">
        <v>15</v>
      </c>
      <c r="F29" s="199">
        <v>21.91</v>
      </c>
      <c r="G29" s="200">
        <v>22.46</v>
      </c>
      <c r="H29" s="200">
        <v>22.18</v>
      </c>
      <c r="I29" s="200">
        <v>22.53</v>
      </c>
      <c r="J29" s="200">
        <v>22.85</v>
      </c>
      <c r="K29" s="200">
        <v>24.15</v>
      </c>
      <c r="L29" s="201">
        <v>25.11</v>
      </c>
      <c r="M29" s="201">
        <v>23.85</v>
      </c>
      <c r="N29" s="201">
        <v>21.54</v>
      </c>
      <c r="O29" s="201">
        <v>14.82</v>
      </c>
      <c r="P29" s="201">
        <v>14.22</v>
      </c>
      <c r="Q29" s="202">
        <v>10.4</v>
      </c>
      <c r="R29" s="203">
        <f t="shared" ca="1" si="39"/>
        <v>21.540000000000006</v>
      </c>
      <c r="S29" s="145"/>
      <c r="T29" s="145"/>
      <c r="U29" s="146" t="s">
        <v>97</v>
      </c>
      <c r="V29" s="147">
        <f ca="1">TREND(R27:R30,C27:C30,INDOOR_DB)</f>
        <v>20.917146464646471</v>
      </c>
      <c r="W29" s="145"/>
      <c r="X29" s="152"/>
      <c r="Y29" s="152"/>
      <c r="AC29" s="164" t="s">
        <v>219</v>
      </c>
      <c r="AD29" s="164">
        <v>30</v>
      </c>
      <c r="AE29" s="165">
        <v>9</v>
      </c>
      <c r="AF29" s="165">
        <v>9</v>
      </c>
      <c r="AG29" s="165">
        <v>12</v>
      </c>
      <c r="AH29" s="164"/>
      <c r="AI29" s="164"/>
      <c r="AJ29" s="501"/>
      <c r="AK29" s="166">
        <f t="shared" ca="1" si="21"/>
        <v>34.005111111111113</v>
      </c>
      <c r="AL29" s="167">
        <f t="shared" ca="1" si="40"/>
        <v>10.463111111111111</v>
      </c>
      <c r="AM29" s="167">
        <f t="shared" ca="1" si="41"/>
        <v>10.463111111111111</v>
      </c>
      <c r="AN29" s="167">
        <f t="shared" ca="1" si="42"/>
        <v>13.078888888888891</v>
      </c>
      <c r="AO29" s="178"/>
      <c r="AP29" s="178"/>
      <c r="AQ29" s="169">
        <f t="shared" ca="1" si="24"/>
        <v>34.005111111111113</v>
      </c>
      <c r="AR29" s="170">
        <f ca="1">INDEX('Cap based on indoor unit SZ'!$J$6:$J$21,MATCH(AE29,'Cap based on indoor unit SZ'!$I$6:$I$21))</f>
        <v>10.463111111111111</v>
      </c>
      <c r="AS29" s="170">
        <f ca="1">INDEX('Cap based on indoor unit SZ'!$J$6:$J$21,MATCH(AF29,'Cap based on indoor unit SZ'!$I$6:$I$21))</f>
        <v>10.463111111111111</v>
      </c>
      <c r="AT29" s="170">
        <f ca="1">INDEX('Cap based on indoor unit SZ'!$J$6:$J$21,MATCH(AG29,'Cap based on indoor unit SZ'!$I$6:$I$21))</f>
        <v>13.078888888888891</v>
      </c>
      <c r="AU29" s="179"/>
      <c r="AV29" s="179"/>
      <c r="AW29" s="169">
        <f t="shared" si="25"/>
        <v>30</v>
      </c>
      <c r="AX29" s="170">
        <v>9</v>
      </c>
      <c r="AY29" s="170">
        <v>9</v>
      </c>
      <c r="AZ29" s="170">
        <v>12</v>
      </c>
      <c r="BA29" s="179"/>
      <c r="BB29" s="179"/>
      <c r="BC29" s="172">
        <f t="shared" ca="1" si="26"/>
        <v>38.845555555555563</v>
      </c>
      <c r="BD29" s="173">
        <f t="shared" ca="1" si="43"/>
        <v>11.65366666666667</v>
      </c>
      <c r="BE29" s="173">
        <f t="shared" ca="1" si="44"/>
        <v>11.65366666666667</v>
      </c>
      <c r="BF29" s="173">
        <f t="shared" ca="1" si="45"/>
        <v>15.538222222222226</v>
      </c>
      <c r="BG29" s="180"/>
      <c r="BH29" s="180"/>
      <c r="BI29" s="166">
        <f t="shared" ca="1" si="29"/>
        <v>37.129931623931625</v>
      </c>
      <c r="BJ29" s="167">
        <f t="shared" ca="1" si="46"/>
        <v>11.138979487179487</v>
      </c>
      <c r="BK29" s="167">
        <f t="shared" ca="1" si="47"/>
        <v>11.138979487179487</v>
      </c>
      <c r="BL29" s="167">
        <f t="shared" ca="1" si="48"/>
        <v>14.851972649572648</v>
      </c>
      <c r="BM29" s="178"/>
      <c r="BN29" s="178"/>
      <c r="BO29" s="169">
        <f t="shared" ca="1" si="32"/>
        <v>38.857066666666668</v>
      </c>
      <c r="BP29" s="170">
        <f ca="1">INDEX('Cap based on indoor unit SZ'!$V$43:$V$58,MATCH(AE29,'Cap based on indoor unit SZ'!$U$43:$U$58))</f>
        <v>11.956020512820512</v>
      </c>
      <c r="BQ29" s="170">
        <f ca="1">INDEX('Cap based on indoor unit SZ'!$V$43:$V$58,MATCH(AF29,'Cap based on indoor unit SZ'!$U$43:$U$58))</f>
        <v>11.956020512820512</v>
      </c>
      <c r="BR29" s="170">
        <f ca="1">INDEX('Cap based on indoor unit SZ'!$V$43:$V$58,MATCH(AG29,'Cap based on indoor unit SZ'!$U$43:$U$58))</f>
        <v>14.945025641025641</v>
      </c>
      <c r="BS29" s="179"/>
      <c r="BT29" s="179"/>
      <c r="BU29" s="175">
        <v>9500</v>
      </c>
      <c r="BV29" s="175">
        <v>9500</v>
      </c>
      <c r="BW29" s="175">
        <v>12500</v>
      </c>
      <c r="BX29" s="179"/>
      <c r="BY29" s="179"/>
      <c r="BZ29" s="172">
        <f t="shared" ca="1" si="33"/>
        <v>37.129931623931625</v>
      </c>
      <c r="CA29" s="173">
        <f t="shared" ca="1" si="49"/>
        <v>11.138979487179487</v>
      </c>
      <c r="CB29" s="173">
        <f t="shared" ca="1" si="50"/>
        <v>11.138979487179487</v>
      </c>
      <c r="CC29" s="173">
        <f t="shared" ca="1" si="51"/>
        <v>14.851972649572648</v>
      </c>
      <c r="CD29" s="180"/>
      <c r="CE29" s="180"/>
      <c r="CF29" s="166">
        <f t="shared" ca="1" si="36"/>
        <v>27.203988692706979</v>
      </c>
      <c r="CG29" s="167">
        <f t="shared" ca="1" si="37"/>
        <v>8.3704580592944549</v>
      </c>
      <c r="CH29" s="167">
        <f t="shared" ca="1" si="38"/>
        <v>8.3704580592944549</v>
      </c>
      <c r="CI29" s="167">
        <f t="shared" ca="1" si="52"/>
        <v>10.463072574118069</v>
      </c>
      <c r="CJ29" s="178"/>
      <c r="CK29" s="178"/>
    </row>
    <row r="30" spans="1:89" ht="14.4" thickBot="1">
      <c r="B30" s="204">
        <v>18</v>
      </c>
      <c r="C30" s="205">
        <v>89.6</v>
      </c>
      <c r="D30" s="205">
        <v>73.400000000000006</v>
      </c>
      <c r="E30" s="206" t="s">
        <v>15</v>
      </c>
      <c r="F30" s="207">
        <v>23.89</v>
      </c>
      <c r="G30" s="208">
        <v>24.48</v>
      </c>
      <c r="H30" s="208">
        <v>24.18</v>
      </c>
      <c r="I30" s="208">
        <v>24.56</v>
      </c>
      <c r="J30" s="208">
        <v>24.91</v>
      </c>
      <c r="K30" s="208">
        <v>26.32</v>
      </c>
      <c r="L30" s="209">
        <v>27.37</v>
      </c>
      <c r="M30" s="209">
        <v>26</v>
      </c>
      <c r="N30" s="209">
        <v>23.48</v>
      </c>
      <c r="O30" s="209">
        <v>16.149999999999999</v>
      </c>
      <c r="P30" s="209">
        <v>15.5</v>
      </c>
      <c r="Q30" s="210">
        <v>11.34</v>
      </c>
      <c r="R30" s="211">
        <f t="shared" ca="1" si="39"/>
        <v>23.480000000000004</v>
      </c>
      <c r="S30" s="145"/>
      <c r="T30" s="145"/>
      <c r="U30" s="146"/>
      <c r="V30" s="149"/>
      <c r="W30" s="145"/>
      <c r="X30" s="152"/>
      <c r="Y30" s="152"/>
      <c r="AC30" s="164" t="s">
        <v>178</v>
      </c>
      <c r="AD30" s="164">
        <v>30</v>
      </c>
      <c r="AE30" s="165">
        <v>9</v>
      </c>
      <c r="AF30" s="165">
        <v>9</v>
      </c>
      <c r="AG30" s="165">
        <v>18</v>
      </c>
      <c r="AH30" s="164"/>
      <c r="AI30" s="164"/>
      <c r="AJ30" s="501"/>
      <c r="AK30" s="166">
        <f t="shared" ca="1" si="21"/>
        <v>38.845555555555563</v>
      </c>
      <c r="AL30" s="167">
        <f t="shared" ca="1" si="40"/>
        <v>9.7113888888888908</v>
      </c>
      <c r="AM30" s="167">
        <f t="shared" ca="1" si="41"/>
        <v>9.7113888888888908</v>
      </c>
      <c r="AN30" s="167">
        <f t="shared" ca="1" si="42"/>
        <v>19.422777777777782</v>
      </c>
      <c r="AO30" s="178"/>
      <c r="AP30" s="178"/>
      <c r="AQ30" s="169">
        <f t="shared" ca="1" si="24"/>
        <v>40.74733333333333</v>
      </c>
      <c r="AR30" s="170">
        <f ca="1">INDEX('Cap based on indoor unit SZ'!$J$6:$J$21,MATCH(AE30,'Cap based on indoor unit SZ'!$I$6:$I$21))</f>
        <v>10.463111111111111</v>
      </c>
      <c r="AS30" s="170">
        <f ca="1">INDEX('Cap based on indoor unit SZ'!$J$6:$J$21,MATCH(AF30,'Cap based on indoor unit SZ'!$I$6:$I$21))</f>
        <v>10.463111111111111</v>
      </c>
      <c r="AT30" s="170">
        <f ca="1">INDEX('Cap based on indoor unit SZ'!$J$6:$J$21,MATCH(AG30,'Cap based on indoor unit SZ'!$I$6:$I$21))</f>
        <v>19.821111111111112</v>
      </c>
      <c r="AU30" s="179"/>
      <c r="AV30" s="179"/>
      <c r="AW30" s="169">
        <f t="shared" si="25"/>
        <v>33</v>
      </c>
      <c r="AX30" s="170">
        <v>8.5</v>
      </c>
      <c r="AY30" s="170">
        <v>8.5</v>
      </c>
      <c r="AZ30" s="170">
        <v>16</v>
      </c>
      <c r="BA30" s="179"/>
      <c r="BB30" s="179"/>
      <c r="BC30" s="172">
        <f t="shared" ca="1" si="26"/>
        <v>38.845555555555563</v>
      </c>
      <c r="BD30" s="173">
        <f t="shared" ca="1" si="43"/>
        <v>9.7113888888888908</v>
      </c>
      <c r="BE30" s="173">
        <f t="shared" ca="1" si="44"/>
        <v>9.7113888888888908</v>
      </c>
      <c r="BF30" s="173">
        <f t="shared" ca="1" si="45"/>
        <v>19.422777777777782</v>
      </c>
      <c r="BG30" s="180"/>
      <c r="BH30" s="180"/>
      <c r="BI30" s="166">
        <f t="shared" ca="1" si="29"/>
        <v>37.129931623931618</v>
      </c>
      <c r="BJ30" s="167">
        <f t="shared" ca="1" si="46"/>
        <v>9.2824829059829046</v>
      </c>
      <c r="BK30" s="167">
        <f t="shared" ca="1" si="47"/>
        <v>9.2824829059829046</v>
      </c>
      <c r="BL30" s="167">
        <f t="shared" ca="1" si="48"/>
        <v>18.564965811965809</v>
      </c>
      <c r="BM30" s="178"/>
      <c r="BN30" s="178"/>
      <c r="BO30" s="169">
        <f t="shared" ca="1" si="32"/>
        <v>48.51086153846154</v>
      </c>
      <c r="BP30" s="170">
        <f ca="1">INDEX('Cap based on indoor unit SZ'!$V$43:$V$58,MATCH(AE30,'Cap based on indoor unit SZ'!$U$43:$U$58))</f>
        <v>11.956020512820512</v>
      </c>
      <c r="BQ30" s="170">
        <f ca="1">INDEX('Cap based on indoor unit SZ'!$V$43:$V$58,MATCH(AF30,'Cap based on indoor unit SZ'!$U$43:$U$58))</f>
        <v>11.956020512820512</v>
      </c>
      <c r="BR30" s="170">
        <f ca="1">INDEX('Cap based on indoor unit SZ'!$V$43:$V$58,MATCH(AG30,'Cap based on indoor unit SZ'!$U$43:$U$58))</f>
        <v>24.598820512820513</v>
      </c>
      <c r="BS30" s="179"/>
      <c r="BT30" s="179"/>
      <c r="BU30" s="175">
        <v>8500</v>
      </c>
      <c r="BV30" s="175">
        <v>8500</v>
      </c>
      <c r="BW30" s="175">
        <v>17000</v>
      </c>
      <c r="BX30" s="179"/>
      <c r="BY30" s="179"/>
      <c r="BZ30" s="172">
        <f t="shared" ca="1" si="33"/>
        <v>37.129931623931618</v>
      </c>
      <c r="CA30" s="173">
        <f t="shared" ca="1" si="49"/>
        <v>9.2824829059829046</v>
      </c>
      <c r="CB30" s="173">
        <f t="shared" ca="1" si="50"/>
        <v>9.2824829059829046</v>
      </c>
      <c r="CC30" s="173">
        <f t="shared" ca="1" si="51"/>
        <v>18.564965811965809</v>
      </c>
      <c r="CD30" s="180"/>
      <c r="CE30" s="180"/>
      <c r="CF30" s="166">
        <f t="shared" ca="1" si="36"/>
        <v>31.076329985875613</v>
      </c>
      <c r="CG30" s="167">
        <f t="shared" ca="1" si="37"/>
        <v>7.7690824964689034</v>
      </c>
      <c r="CH30" s="167">
        <f t="shared" ca="1" si="38"/>
        <v>7.7690824964689034</v>
      </c>
      <c r="CI30" s="167">
        <f t="shared" ca="1" si="52"/>
        <v>15.538164992937807</v>
      </c>
      <c r="CJ30" s="178"/>
      <c r="CK30" s="178"/>
    </row>
    <row r="31" spans="1:89">
      <c r="B31" s="188">
        <v>24</v>
      </c>
      <c r="C31" s="189">
        <v>69.8</v>
      </c>
      <c r="D31" s="189">
        <v>59</v>
      </c>
      <c r="E31" s="190" t="s">
        <v>15</v>
      </c>
      <c r="F31" s="191">
        <v>31.96</v>
      </c>
      <c r="G31" s="192">
        <v>32.76</v>
      </c>
      <c r="H31" s="192">
        <v>32.58</v>
      </c>
      <c r="I31" s="192">
        <v>32.6</v>
      </c>
      <c r="J31" s="192">
        <v>32.15</v>
      </c>
      <c r="K31" s="192">
        <v>32.75</v>
      </c>
      <c r="L31" s="193">
        <v>32.44</v>
      </c>
      <c r="M31" s="193">
        <v>26.94</v>
      </c>
      <c r="N31" s="193">
        <v>24.46</v>
      </c>
      <c r="O31" s="193">
        <v>19.98</v>
      </c>
      <c r="P31" s="193">
        <v>17.559999999999999</v>
      </c>
      <c r="Q31" s="194">
        <v>15.45</v>
      </c>
      <c r="R31" s="195">
        <f t="shared" ca="1" si="39"/>
        <v>24.46</v>
      </c>
      <c r="S31" s="145"/>
      <c r="T31" s="145"/>
      <c r="U31" s="146" t="s">
        <v>96</v>
      </c>
      <c r="V31" s="147">
        <f ca="1">FORECAST(INDOOR_DB,OFFSET(R31:R34,MATCH(INDOOR_DB,C31:C34,1)-1,0,2),OFFSET(C31:C34,MATCH(INDOOR_DB,C31:C34,1)-1,0,2))</f>
        <v>32.046666666666667</v>
      </c>
      <c r="W31" s="145">
        <f>B31</f>
        <v>24</v>
      </c>
      <c r="X31" s="147">
        <f ca="1">IF(OR(INDOOR_DB&lt;C31,INDOOR_DB&gt;C34),V33,V31)</f>
        <v>32.046666666666667</v>
      </c>
      <c r="Y31" s="152"/>
      <c r="AC31" s="164" t="s">
        <v>218</v>
      </c>
      <c r="AD31" s="164">
        <v>30</v>
      </c>
      <c r="AE31" s="165">
        <v>9</v>
      </c>
      <c r="AF31" s="165">
        <v>9</v>
      </c>
      <c r="AG31" s="165">
        <v>24</v>
      </c>
      <c r="AH31" s="212"/>
      <c r="AI31" s="212"/>
      <c r="AJ31" s="501"/>
      <c r="AK31" s="166">
        <f t="shared" ca="1" si="21"/>
        <v>38.84555555555557</v>
      </c>
      <c r="AL31" s="167">
        <f t="shared" ca="1" si="40"/>
        <v>8.3240476190476222</v>
      </c>
      <c r="AM31" s="167">
        <f t="shared" ca="1" si="41"/>
        <v>8.3240476190476222</v>
      </c>
      <c r="AN31" s="167">
        <f t="shared" ca="1" si="42"/>
        <v>22.197460317460326</v>
      </c>
      <c r="AO31" s="178"/>
      <c r="AP31" s="178"/>
      <c r="AQ31" s="169">
        <f t="shared" ca="1" si="24"/>
        <v>45.37844444444444</v>
      </c>
      <c r="AR31" s="170">
        <f ca="1">INDEX('Cap based on indoor unit SZ'!$J$6:$J$21,MATCH(AE31,'Cap based on indoor unit SZ'!$I$6:$I$21))</f>
        <v>10.463111111111111</v>
      </c>
      <c r="AS31" s="170">
        <f ca="1">INDEX('Cap based on indoor unit SZ'!$J$6:$J$21,MATCH(AF31,'Cap based on indoor unit SZ'!$I$6:$I$21))</f>
        <v>10.463111111111111</v>
      </c>
      <c r="AT31" s="170">
        <f ca="1">INDEX('Cap based on indoor unit SZ'!$J$6:$J$21,MATCH(AG31,'Cap based on indoor unit SZ'!$I$6:$I$21))</f>
        <v>24.452222222222218</v>
      </c>
      <c r="AU31" s="179"/>
      <c r="AV31" s="179"/>
      <c r="AW31" s="169">
        <f t="shared" si="25"/>
        <v>35</v>
      </c>
      <c r="AX31" s="170">
        <v>7.5</v>
      </c>
      <c r="AY31" s="170">
        <v>7.5</v>
      </c>
      <c r="AZ31" s="170">
        <v>20</v>
      </c>
      <c r="BA31" s="179"/>
      <c r="BB31" s="179"/>
      <c r="BC31" s="172">
        <f t="shared" ca="1" si="26"/>
        <v>38.84555555555557</v>
      </c>
      <c r="BD31" s="173">
        <f t="shared" ca="1" si="43"/>
        <v>8.3240476190476222</v>
      </c>
      <c r="BE31" s="173">
        <f t="shared" ca="1" si="44"/>
        <v>8.3240476190476222</v>
      </c>
      <c r="BF31" s="173">
        <f t="shared" ca="1" si="45"/>
        <v>22.197460317460326</v>
      </c>
      <c r="BG31" s="180"/>
      <c r="BH31" s="180"/>
      <c r="BI31" s="166">
        <f t="shared" ca="1" si="29"/>
        <v>37.129931623931625</v>
      </c>
      <c r="BJ31" s="167">
        <f t="shared" ca="1" si="46"/>
        <v>7.9564139194139196</v>
      </c>
      <c r="BK31" s="167">
        <f t="shared" ca="1" si="47"/>
        <v>7.9564139194139196</v>
      </c>
      <c r="BL31" s="167">
        <f t="shared" ca="1" si="48"/>
        <v>21.217103785103784</v>
      </c>
      <c r="BM31" s="178"/>
      <c r="BN31" s="178"/>
      <c r="BO31" s="169">
        <f t="shared" ca="1" si="32"/>
        <v>54.202041025641023</v>
      </c>
      <c r="BP31" s="170">
        <f ca="1">INDEX('Cap based on indoor unit SZ'!$V$43:$V$58,MATCH(AE31,'Cap based on indoor unit SZ'!$U$43:$U$58))</f>
        <v>11.956020512820512</v>
      </c>
      <c r="BQ31" s="170">
        <f ca="1">INDEX('Cap based on indoor unit SZ'!$V$43:$V$58,MATCH(AF31,'Cap based on indoor unit SZ'!$U$43:$U$58))</f>
        <v>11.956020512820512</v>
      </c>
      <c r="BR31" s="170">
        <f ca="1">INDEX('Cap based on indoor unit SZ'!$V$43:$V$58,MATCH(AG31,'Cap based on indoor unit SZ'!$U$43:$U$58))</f>
        <v>30.290000000000003</v>
      </c>
      <c r="BS31" s="179"/>
      <c r="BT31" s="179"/>
      <c r="BU31" s="175">
        <v>8500</v>
      </c>
      <c r="BV31" s="175">
        <v>8500</v>
      </c>
      <c r="BW31" s="175">
        <v>21000</v>
      </c>
      <c r="BX31" s="179"/>
      <c r="BY31" s="179"/>
      <c r="BZ31" s="172">
        <f t="shared" ca="1" si="33"/>
        <v>37.129931623931625</v>
      </c>
      <c r="CA31" s="173">
        <f t="shared" ca="1" si="49"/>
        <v>7.9564139194139196</v>
      </c>
      <c r="CB31" s="173">
        <f t="shared" ca="1" si="50"/>
        <v>7.9564139194139196</v>
      </c>
      <c r="CC31" s="173">
        <f t="shared" ca="1" si="51"/>
        <v>21.217103785103784</v>
      </c>
      <c r="CD31" s="180"/>
      <c r="CE31" s="180"/>
      <c r="CF31" s="166">
        <f t="shared" ca="1" si="36"/>
        <v>31.076329985875617</v>
      </c>
      <c r="CG31" s="167">
        <f t="shared" ca="1" si="37"/>
        <v>6.6592135684019178</v>
      </c>
      <c r="CH31" s="167">
        <f t="shared" ca="1" si="38"/>
        <v>6.6592135684019178</v>
      </c>
      <c r="CI31" s="167">
        <f t="shared" ca="1" si="52"/>
        <v>17.757902849071783</v>
      </c>
      <c r="CJ31" s="178"/>
      <c r="CK31" s="178"/>
    </row>
    <row r="32" spans="1:89">
      <c r="B32" s="196">
        <v>24</v>
      </c>
      <c r="C32" s="197">
        <v>75.2</v>
      </c>
      <c r="D32" s="197">
        <v>62.6</v>
      </c>
      <c r="E32" s="198" t="s">
        <v>15</v>
      </c>
      <c r="F32" s="199">
        <v>34.53</v>
      </c>
      <c r="G32" s="200">
        <v>35.39</v>
      </c>
      <c r="H32" s="200">
        <v>35.19</v>
      </c>
      <c r="I32" s="200">
        <v>35.21</v>
      </c>
      <c r="J32" s="200">
        <v>34.72</v>
      </c>
      <c r="K32" s="200">
        <v>35.369999999999997</v>
      </c>
      <c r="L32" s="201">
        <v>35.04</v>
      </c>
      <c r="M32" s="201">
        <v>29.1</v>
      </c>
      <c r="N32" s="201">
        <v>26.42</v>
      </c>
      <c r="O32" s="201">
        <v>21.58</v>
      </c>
      <c r="P32" s="201">
        <v>18.96</v>
      </c>
      <c r="Q32" s="202">
        <v>16.690000000000001</v>
      </c>
      <c r="R32" s="203">
        <f t="shared" ca="1" si="39"/>
        <v>26.419999999999995</v>
      </c>
      <c r="S32" s="145"/>
      <c r="T32" s="145"/>
      <c r="U32" s="146"/>
      <c r="V32" s="148"/>
      <c r="W32" s="145"/>
      <c r="X32" s="152"/>
      <c r="Y32" s="152"/>
      <c r="AC32" s="164" t="s">
        <v>176</v>
      </c>
      <c r="AD32" s="164">
        <v>30</v>
      </c>
      <c r="AE32" s="165">
        <v>9</v>
      </c>
      <c r="AF32" s="165">
        <v>12</v>
      </c>
      <c r="AG32" s="165">
        <v>12</v>
      </c>
      <c r="AH32" s="164"/>
      <c r="AI32" s="164"/>
      <c r="AJ32" s="501"/>
      <c r="AK32" s="166">
        <f t="shared" ca="1" si="21"/>
        <v>36.620888888888892</v>
      </c>
      <c r="AL32" s="167">
        <f t="shared" ca="1" si="40"/>
        <v>10.463111111111111</v>
      </c>
      <c r="AM32" s="167">
        <f t="shared" ca="1" si="41"/>
        <v>13.078888888888891</v>
      </c>
      <c r="AN32" s="167">
        <f t="shared" ca="1" si="42"/>
        <v>13.078888888888891</v>
      </c>
      <c r="AO32" s="178"/>
      <c r="AP32" s="178"/>
      <c r="AQ32" s="169">
        <f t="shared" ca="1" si="24"/>
        <v>36.620888888888892</v>
      </c>
      <c r="AR32" s="170">
        <f ca="1">INDEX('Cap based on indoor unit SZ'!$J$6:$J$21,MATCH(AE32,'Cap based on indoor unit SZ'!$I$6:$I$21))</f>
        <v>10.463111111111111</v>
      </c>
      <c r="AS32" s="170">
        <f ca="1">INDEX('Cap based on indoor unit SZ'!$J$6:$J$21,MATCH(AF32,'Cap based on indoor unit SZ'!$I$6:$I$21))</f>
        <v>13.078888888888891</v>
      </c>
      <c r="AT32" s="170">
        <f ca="1">INDEX('Cap based on indoor unit SZ'!$J$6:$J$21,MATCH(AG32,'Cap based on indoor unit SZ'!$I$6:$I$21))</f>
        <v>13.078888888888891</v>
      </c>
      <c r="AU32" s="179"/>
      <c r="AV32" s="179"/>
      <c r="AW32" s="169">
        <f t="shared" si="25"/>
        <v>31.5</v>
      </c>
      <c r="AX32" s="170">
        <v>8.5</v>
      </c>
      <c r="AY32" s="170">
        <v>11.5</v>
      </c>
      <c r="AZ32" s="170">
        <v>11.5</v>
      </c>
      <c r="BA32" s="179"/>
      <c r="BB32" s="179"/>
      <c r="BC32" s="172">
        <f t="shared" ca="1" si="26"/>
        <v>38.845555555555563</v>
      </c>
      <c r="BD32" s="173">
        <f t="shared" ca="1" si="43"/>
        <v>10.594242424242427</v>
      </c>
      <c r="BE32" s="173">
        <f t="shared" ca="1" si="44"/>
        <v>14.12565656565657</v>
      </c>
      <c r="BF32" s="173">
        <f t="shared" ca="1" si="45"/>
        <v>14.12565656565657</v>
      </c>
      <c r="BG32" s="180"/>
      <c r="BH32" s="180"/>
      <c r="BI32" s="166">
        <f t="shared" ca="1" si="29"/>
        <v>37.129931623931618</v>
      </c>
      <c r="BJ32" s="167">
        <f t="shared" ca="1" si="46"/>
        <v>10.126344988344988</v>
      </c>
      <c r="BK32" s="167">
        <f t="shared" ca="1" si="47"/>
        <v>13.501793317793316</v>
      </c>
      <c r="BL32" s="167">
        <f t="shared" ca="1" si="48"/>
        <v>13.501793317793316</v>
      </c>
      <c r="BM32" s="178"/>
      <c r="BN32" s="178"/>
      <c r="BO32" s="169">
        <f t="shared" ca="1" si="32"/>
        <v>41.84607179487179</v>
      </c>
      <c r="BP32" s="170">
        <f ca="1">INDEX('Cap based on indoor unit SZ'!$V$43:$V$58,MATCH(AE32,'Cap based on indoor unit SZ'!$U$43:$U$58))</f>
        <v>11.956020512820512</v>
      </c>
      <c r="BQ32" s="170">
        <f ca="1">INDEX('Cap based on indoor unit SZ'!$V$43:$V$58,MATCH(AF32,'Cap based on indoor unit SZ'!$U$43:$U$58))</f>
        <v>14.945025641025641</v>
      </c>
      <c r="BR32" s="170">
        <f ca="1">INDEX('Cap based on indoor unit SZ'!$V$43:$V$58,MATCH(AG32,'Cap based on indoor unit SZ'!$U$43:$U$58))</f>
        <v>14.945025641025641</v>
      </c>
      <c r="BS32" s="179"/>
      <c r="BT32" s="179"/>
      <c r="BU32" s="175">
        <v>9000</v>
      </c>
      <c r="BV32" s="175">
        <v>12000</v>
      </c>
      <c r="BW32" s="175">
        <v>12000</v>
      </c>
      <c r="BX32" s="179"/>
      <c r="BY32" s="179"/>
      <c r="BZ32" s="172">
        <f t="shared" ca="1" si="33"/>
        <v>37.129931623931618</v>
      </c>
      <c r="CA32" s="173">
        <f t="shared" ca="1" si="49"/>
        <v>10.126344988344988</v>
      </c>
      <c r="CB32" s="173">
        <f t="shared" ca="1" si="50"/>
        <v>13.501793317793316</v>
      </c>
      <c r="CC32" s="173">
        <f t="shared" ca="1" si="51"/>
        <v>13.501793317793316</v>
      </c>
      <c r="CD32" s="180"/>
      <c r="CE32" s="180"/>
      <c r="CF32" s="166">
        <f t="shared" ca="1" si="36"/>
        <v>29.296603207530591</v>
      </c>
      <c r="CG32" s="167">
        <f t="shared" ca="1" si="37"/>
        <v>8.3704580592944549</v>
      </c>
      <c r="CH32" s="167">
        <f t="shared" ca="1" si="38"/>
        <v>10.463072574118069</v>
      </c>
      <c r="CI32" s="167">
        <f t="shared" ca="1" si="52"/>
        <v>10.463072574118069</v>
      </c>
      <c r="CJ32" s="178"/>
      <c r="CK32" s="178"/>
    </row>
    <row r="33" spans="2:89">
      <c r="B33" s="196">
        <v>24</v>
      </c>
      <c r="C33" s="197">
        <v>80.599999999999994</v>
      </c>
      <c r="D33" s="197">
        <v>66.2</v>
      </c>
      <c r="E33" s="198" t="s">
        <v>15</v>
      </c>
      <c r="F33" s="199">
        <v>36.25</v>
      </c>
      <c r="G33" s="200">
        <v>37.15</v>
      </c>
      <c r="H33" s="200">
        <v>37.24</v>
      </c>
      <c r="I33" s="200">
        <v>37.08</v>
      </c>
      <c r="J33" s="200">
        <v>37.51</v>
      </c>
      <c r="K33" s="200">
        <v>37.68</v>
      </c>
      <c r="L33" s="201">
        <v>37.53</v>
      </c>
      <c r="M33" s="201">
        <v>35.39</v>
      </c>
      <c r="N33" s="201">
        <v>32.75</v>
      </c>
      <c r="O33" s="201">
        <v>24.71</v>
      </c>
      <c r="P33" s="201">
        <v>23.96</v>
      </c>
      <c r="Q33" s="202">
        <v>20.149999999999999</v>
      </c>
      <c r="R33" s="203">
        <f t="shared" ca="1" si="39"/>
        <v>32.75</v>
      </c>
      <c r="S33" s="145"/>
      <c r="T33" s="145"/>
      <c r="U33" s="146" t="s">
        <v>97</v>
      </c>
      <c r="V33" s="147">
        <f ca="1">TREND(R31:R34,C31:C34,INDOOR_DB)</f>
        <v>30.352853535353542</v>
      </c>
      <c r="W33" s="145"/>
      <c r="X33" s="152"/>
      <c r="Y33" s="152"/>
      <c r="AC33" s="164" t="s">
        <v>175</v>
      </c>
      <c r="AD33" s="164">
        <v>30</v>
      </c>
      <c r="AE33" s="165">
        <v>9</v>
      </c>
      <c r="AF33" s="165">
        <v>12</v>
      </c>
      <c r="AG33" s="165">
        <v>18</v>
      </c>
      <c r="AH33" s="164"/>
      <c r="AI33" s="164"/>
      <c r="AJ33" s="501"/>
      <c r="AK33" s="166">
        <f t="shared" ca="1" si="21"/>
        <v>38.845555555555563</v>
      </c>
      <c r="AL33" s="167">
        <f t="shared" ca="1" si="40"/>
        <v>8.9643589743589764</v>
      </c>
      <c r="AM33" s="167">
        <f t="shared" ca="1" si="41"/>
        <v>11.952478632478634</v>
      </c>
      <c r="AN33" s="167">
        <f t="shared" ca="1" si="42"/>
        <v>17.928717948717953</v>
      </c>
      <c r="AO33" s="178"/>
      <c r="AP33" s="178"/>
      <c r="AQ33" s="169">
        <f t="shared" ca="1" si="24"/>
        <v>43.36311111111111</v>
      </c>
      <c r="AR33" s="170">
        <f ca="1">INDEX('Cap based on indoor unit SZ'!$J$6:$J$21,MATCH(AE33,'Cap based on indoor unit SZ'!$I$6:$I$21))</f>
        <v>10.463111111111111</v>
      </c>
      <c r="AS33" s="170">
        <f ca="1">INDEX('Cap based on indoor unit SZ'!$J$6:$J$21,MATCH(AF33,'Cap based on indoor unit SZ'!$I$6:$I$21))</f>
        <v>13.078888888888891</v>
      </c>
      <c r="AT33" s="170">
        <f ca="1">INDEX('Cap based on indoor unit SZ'!$J$6:$J$21,MATCH(AG33,'Cap based on indoor unit SZ'!$I$6:$I$21))</f>
        <v>19.821111111111112</v>
      </c>
      <c r="AU33" s="179"/>
      <c r="AV33" s="179"/>
      <c r="AW33" s="169">
        <f t="shared" si="25"/>
        <v>34</v>
      </c>
      <c r="AX33" s="170">
        <v>8</v>
      </c>
      <c r="AY33" s="170">
        <v>11</v>
      </c>
      <c r="AZ33" s="170">
        <v>15</v>
      </c>
      <c r="BA33" s="179"/>
      <c r="BB33" s="179"/>
      <c r="BC33" s="172">
        <f t="shared" ca="1" si="26"/>
        <v>38.845555555555563</v>
      </c>
      <c r="BD33" s="173">
        <f t="shared" ca="1" si="43"/>
        <v>8.9643589743589764</v>
      </c>
      <c r="BE33" s="173">
        <f t="shared" ca="1" si="44"/>
        <v>11.952478632478634</v>
      </c>
      <c r="BF33" s="173">
        <f t="shared" ca="1" si="45"/>
        <v>17.928717948717953</v>
      </c>
      <c r="BG33" s="180"/>
      <c r="BH33" s="180"/>
      <c r="BI33" s="166">
        <f t="shared" ca="1" si="29"/>
        <v>37.129931623931618</v>
      </c>
      <c r="BJ33" s="167">
        <f t="shared" ca="1" si="46"/>
        <v>8.568445759368835</v>
      </c>
      <c r="BK33" s="167">
        <f t="shared" ca="1" si="47"/>
        <v>11.424594345825113</v>
      </c>
      <c r="BL33" s="167">
        <f t="shared" ca="1" si="48"/>
        <v>17.13689151873767</v>
      </c>
      <c r="BM33" s="178"/>
      <c r="BN33" s="178"/>
      <c r="BO33" s="169">
        <f t="shared" ca="1" si="32"/>
        <v>51.499866666666662</v>
      </c>
      <c r="BP33" s="170">
        <f ca="1">INDEX('Cap based on indoor unit SZ'!$V$43:$V$58,MATCH(AE33,'Cap based on indoor unit SZ'!$U$43:$U$58))</f>
        <v>11.956020512820512</v>
      </c>
      <c r="BQ33" s="170">
        <f ca="1">INDEX('Cap based on indoor unit SZ'!$V$43:$V$58,MATCH(AF33,'Cap based on indoor unit SZ'!$U$43:$U$58))</f>
        <v>14.945025641025641</v>
      </c>
      <c r="BR33" s="170">
        <f ca="1">INDEX('Cap based on indoor unit SZ'!$V$43:$V$58,MATCH(AG33,'Cap based on indoor unit SZ'!$U$43:$U$58))</f>
        <v>24.598820512820513</v>
      </c>
      <c r="BS33" s="179"/>
      <c r="BT33" s="179"/>
      <c r="BU33" s="175">
        <v>8500</v>
      </c>
      <c r="BV33" s="175">
        <v>11500</v>
      </c>
      <c r="BW33" s="175">
        <v>16000</v>
      </c>
      <c r="BX33" s="179"/>
      <c r="BY33" s="179"/>
      <c r="BZ33" s="172">
        <f t="shared" ca="1" si="33"/>
        <v>37.129931623931618</v>
      </c>
      <c r="CA33" s="173">
        <f t="shared" ca="1" si="49"/>
        <v>8.568445759368835</v>
      </c>
      <c r="CB33" s="173">
        <f t="shared" ca="1" si="50"/>
        <v>11.424594345825113</v>
      </c>
      <c r="CC33" s="173">
        <f t="shared" ca="1" si="51"/>
        <v>17.13689151873767</v>
      </c>
      <c r="CD33" s="180"/>
      <c r="CE33" s="180"/>
      <c r="CF33" s="166">
        <f t="shared" ca="1" si="36"/>
        <v>31.076329985875613</v>
      </c>
      <c r="CG33" s="167">
        <f t="shared" ca="1" si="37"/>
        <v>7.171460765971295</v>
      </c>
      <c r="CH33" s="167">
        <f t="shared" ca="1" si="38"/>
        <v>9.5619476879617267</v>
      </c>
      <c r="CI33" s="167">
        <f t="shared" ca="1" si="52"/>
        <v>14.34292153194259</v>
      </c>
      <c r="CJ33" s="178"/>
      <c r="CK33" s="178"/>
    </row>
    <row r="34" spans="2:89" ht="14.4" thickBot="1">
      <c r="B34" s="204">
        <v>24</v>
      </c>
      <c r="C34" s="205">
        <v>89.6</v>
      </c>
      <c r="D34" s="205">
        <v>73.400000000000006</v>
      </c>
      <c r="E34" s="206" t="s">
        <v>15</v>
      </c>
      <c r="F34" s="207">
        <v>38.78</v>
      </c>
      <c r="G34" s="208">
        <v>39.75</v>
      </c>
      <c r="H34" s="208">
        <v>39.85</v>
      </c>
      <c r="I34" s="208">
        <v>39.68</v>
      </c>
      <c r="J34" s="208">
        <v>40.14</v>
      </c>
      <c r="K34" s="208">
        <v>40.32</v>
      </c>
      <c r="L34" s="209">
        <v>40.159999999999997</v>
      </c>
      <c r="M34" s="209">
        <v>37.869999999999997</v>
      </c>
      <c r="N34" s="209">
        <v>35.04</v>
      </c>
      <c r="O34" s="209">
        <v>26.44</v>
      </c>
      <c r="P34" s="209">
        <v>25.64</v>
      </c>
      <c r="Q34" s="210">
        <v>21.56</v>
      </c>
      <c r="R34" s="211">
        <f t="shared" ca="1" si="39"/>
        <v>35.040000000000006</v>
      </c>
      <c r="S34" s="145"/>
      <c r="T34" s="145"/>
      <c r="U34" s="146"/>
      <c r="V34" s="149"/>
      <c r="W34" s="145"/>
      <c r="X34" s="152"/>
      <c r="Y34" s="152"/>
      <c r="AC34" s="164" t="s">
        <v>262</v>
      </c>
      <c r="AD34" s="164">
        <v>30</v>
      </c>
      <c r="AE34" s="165">
        <v>9</v>
      </c>
      <c r="AF34" s="165">
        <v>12</v>
      </c>
      <c r="AG34" s="165">
        <v>24</v>
      </c>
      <c r="AH34" s="164"/>
      <c r="AI34" s="164"/>
      <c r="AJ34" s="501"/>
      <c r="AK34" s="166">
        <f t="shared" ca="1" si="21"/>
        <v>38.845555555555563</v>
      </c>
      <c r="AL34" s="167">
        <f t="shared" ca="1" si="40"/>
        <v>7.7691111111111129</v>
      </c>
      <c r="AM34" s="167">
        <f t="shared" ca="1" si="41"/>
        <v>10.358814814814817</v>
      </c>
      <c r="AN34" s="167">
        <f t="shared" ca="1" si="42"/>
        <v>20.717629629629634</v>
      </c>
      <c r="AO34" s="178"/>
      <c r="AP34" s="178"/>
      <c r="AQ34" s="169">
        <f t="shared" ca="1" si="24"/>
        <v>47.99422222222222</v>
      </c>
      <c r="AR34" s="170">
        <f ca="1">INDEX('Cap based on indoor unit SZ'!$J$6:$J$21,MATCH(AE34,'Cap based on indoor unit SZ'!$I$6:$I$21))</f>
        <v>10.463111111111111</v>
      </c>
      <c r="AS34" s="170">
        <f ca="1">INDEX('Cap based on indoor unit SZ'!$J$6:$J$21,MATCH(AF34,'Cap based on indoor unit SZ'!$I$6:$I$21))</f>
        <v>13.078888888888891</v>
      </c>
      <c r="AT34" s="170">
        <f ca="1">INDEX('Cap based on indoor unit SZ'!$J$6:$J$21,MATCH(AG34,'Cap based on indoor unit SZ'!$I$6:$I$21))</f>
        <v>24.452222222222218</v>
      </c>
      <c r="AU34" s="179"/>
      <c r="AV34" s="179"/>
      <c r="AW34" s="169">
        <f t="shared" si="25"/>
        <v>36</v>
      </c>
      <c r="AX34" s="170">
        <v>7</v>
      </c>
      <c r="AY34" s="170">
        <v>9</v>
      </c>
      <c r="AZ34" s="170">
        <v>20</v>
      </c>
      <c r="BA34" s="179"/>
      <c r="BB34" s="179"/>
      <c r="BC34" s="172">
        <f t="shared" ca="1" si="26"/>
        <v>38.845555555555563</v>
      </c>
      <c r="BD34" s="173">
        <f t="shared" ca="1" si="43"/>
        <v>7.7691111111111129</v>
      </c>
      <c r="BE34" s="173">
        <f t="shared" ca="1" si="44"/>
        <v>10.358814814814817</v>
      </c>
      <c r="BF34" s="173">
        <f t="shared" ca="1" si="45"/>
        <v>20.717629629629634</v>
      </c>
      <c r="BG34" s="180"/>
      <c r="BH34" s="180"/>
      <c r="BI34" s="166">
        <f t="shared" ca="1" si="29"/>
        <v>37.129931623931618</v>
      </c>
      <c r="BJ34" s="167">
        <f t="shared" ca="1" si="46"/>
        <v>7.425986324786324</v>
      </c>
      <c r="BK34" s="167">
        <f t="shared" ca="1" si="47"/>
        <v>9.9013150997150987</v>
      </c>
      <c r="BL34" s="167">
        <f t="shared" ca="1" si="48"/>
        <v>19.802630199430197</v>
      </c>
      <c r="BM34" s="178"/>
      <c r="BN34" s="178"/>
      <c r="BO34" s="169">
        <f t="shared" ca="1" si="32"/>
        <v>57.191046153846159</v>
      </c>
      <c r="BP34" s="170">
        <f ca="1">INDEX('Cap based on indoor unit SZ'!$V$43:$V$58,MATCH(AE34,'Cap based on indoor unit SZ'!$U$43:$U$58))</f>
        <v>11.956020512820512</v>
      </c>
      <c r="BQ34" s="170">
        <f ca="1">INDEX('Cap based on indoor unit SZ'!$V$43:$V$58,MATCH(AF34,'Cap based on indoor unit SZ'!$U$43:$U$58))</f>
        <v>14.945025641025641</v>
      </c>
      <c r="BR34" s="170">
        <f ca="1">INDEX('Cap based on indoor unit SZ'!$V$43:$V$58,MATCH(AG34,'Cap based on indoor unit SZ'!$U$43:$U$58))</f>
        <v>30.290000000000003</v>
      </c>
      <c r="BS34" s="179"/>
      <c r="BT34" s="179"/>
      <c r="BU34" s="175">
        <v>8500</v>
      </c>
      <c r="BV34" s="175">
        <v>9500</v>
      </c>
      <c r="BW34" s="175">
        <v>21000</v>
      </c>
      <c r="BX34" s="179"/>
      <c r="BY34" s="179"/>
      <c r="BZ34" s="172">
        <f t="shared" ca="1" si="33"/>
        <v>37.129931623931618</v>
      </c>
      <c r="CA34" s="173">
        <f t="shared" ca="1" si="49"/>
        <v>7.425986324786324</v>
      </c>
      <c r="CB34" s="173">
        <f t="shared" ca="1" si="50"/>
        <v>9.9013150997150987</v>
      </c>
      <c r="CC34" s="173">
        <f t="shared" ca="1" si="51"/>
        <v>19.802630199430197</v>
      </c>
      <c r="CD34" s="180"/>
      <c r="CE34" s="180"/>
      <c r="CF34" s="166">
        <f t="shared" ca="1" si="36"/>
        <v>31.076329985875613</v>
      </c>
      <c r="CG34" s="167">
        <f t="shared" ca="1" si="37"/>
        <v>6.2152659971751225</v>
      </c>
      <c r="CH34" s="167">
        <f t="shared" ca="1" si="38"/>
        <v>8.28702132956683</v>
      </c>
      <c r="CI34" s="167">
        <f t="shared" ca="1" si="52"/>
        <v>16.57404265913366</v>
      </c>
      <c r="CJ34" s="178"/>
      <c r="CK34" s="178"/>
    </row>
    <row r="35" spans="2:89">
      <c r="B35" s="188">
        <v>30</v>
      </c>
      <c r="C35" s="189">
        <v>69.8</v>
      </c>
      <c r="D35" s="189">
        <v>59</v>
      </c>
      <c r="E35" s="190" t="s">
        <v>15</v>
      </c>
      <c r="F35" s="191">
        <v>39.15</v>
      </c>
      <c r="G35" s="192">
        <v>40.119999999999997</v>
      </c>
      <c r="H35" s="192">
        <v>40.28</v>
      </c>
      <c r="I35" s="192">
        <v>39.54</v>
      </c>
      <c r="J35" s="192">
        <v>39.18</v>
      </c>
      <c r="K35" s="192">
        <v>40.81</v>
      </c>
      <c r="L35" s="193">
        <v>39.79</v>
      </c>
      <c r="M35" s="193">
        <v>37.979999999999997</v>
      </c>
      <c r="N35" s="193">
        <v>36.159999999999997</v>
      </c>
      <c r="O35" s="193">
        <v>28.21</v>
      </c>
      <c r="P35" s="193">
        <v>26.56</v>
      </c>
      <c r="Q35" s="194">
        <v>23.46</v>
      </c>
      <c r="R35" s="195">
        <f t="shared" ca="1" si="39"/>
        <v>36.159999999999997</v>
      </c>
      <c r="S35" s="145"/>
      <c r="T35" s="145"/>
      <c r="U35" s="146" t="s">
        <v>96</v>
      </c>
      <c r="V35" s="147">
        <f ca="1">FORECAST(INDOOR_DB,OFFSET(R35:R38,MATCH(INDOOR_DB,C35:C38,1)-1,0,2),OFFSET(C35:C38,MATCH(INDOOR_DB,C35:C38,1)-1,0,2))</f>
        <v>38.845555555555563</v>
      </c>
      <c r="W35" s="145">
        <f>B35</f>
        <v>30</v>
      </c>
      <c r="X35" s="147">
        <f ca="1">IF(OR(INDOOR_DB&lt;C35,INDOOR_DB&gt;C38),V37,V35)</f>
        <v>38.845555555555563</v>
      </c>
      <c r="Y35" s="152"/>
      <c r="AC35" s="164" t="s">
        <v>173</v>
      </c>
      <c r="AD35" s="164">
        <v>30</v>
      </c>
      <c r="AE35" s="165">
        <v>9</v>
      </c>
      <c r="AF35" s="165">
        <v>18</v>
      </c>
      <c r="AG35" s="165">
        <v>18</v>
      </c>
      <c r="AH35" s="164"/>
      <c r="AI35" s="164"/>
      <c r="AJ35" s="501"/>
      <c r="AK35" s="166">
        <f t="shared" ca="1" si="21"/>
        <v>38.845555555555563</v>
      </c>
      <c r="AL35" s="167">
        <f t="shared" ca="1" si="40"/>
        <v>7.7691111111111129</v>
      </c>
      <c r="AM35" s="167">
        <f t="shared" ca="1" si="41"/>
        <v>15.538222222222226</v>
      </c>
      <c r="AN35" s="167">
        <f t="shared" ca="1" si="42"/>
        <v>15.538222222222226</v>
      </c>
      <c r="AO35" s="178"/>
      <c r="AP35" s="178"/>
      <c r="AQ35" s="169">
        <f t="shared" ca="1" si="24"/>
        <v>50.105333333333334</v>
      </c>
      <c r="AR35" s="170">
        <f ca="1">INDEX('Cap based on indoor unit SZ'!$J$6:$J$21,MATCH(AE35,'Cap based on indoor unit SZ'!$I$6:$I$21))</f>
        <v>10.463111111111111</v>
      </c>
      <c r="AS35" s="170">
        <f ca="1">INDEX('Cap based on indoor unit SZ'!$J$6:$J$21,MATCH(AF35,'Cap based on indoor unit SZ'!$I$6:$I$21))</f>
        <v>19.821111111111112</v>
      </c>
      <c r="AT35" s="170">
        <f ca="1">INDEX('Cap based on indoor unit SZ'!$J$6:$J$21,MATCH(AG35,'Cap based on indoor unit SZ'!$I$6:$I$21))</f>
        <v>19.821111111111112</v>
      </c>
      <c r="AU35" s="179"/>
      <c r="AV35" s="179"/>
      <c r="AW35" s="169">
        <f t="shared" si="25"/>
        <v>36</v>
      </c>
      <c r="AX35" s="170">
        <v>8</v>
      </c>
      <c r="AY35" s="170">
        <v>14</v>
      </c>
      <c r="AZ35" s="170">
        <v>14</v>
      </c>
      <c r="BA35" s="179"/>
      <c r="BB35" s="179"/>
      <c r="BC35" s="172">
        <f t="shared" ca="1" si="26"/>
        <v>38.845555555555563</v>
      </c>
      <c r="BD35" s="173">
        <f t="shared" ca="1" si="43"/>
        <v>7.7691111111111129</v>
      </c>
      <c r="BE35" s="173">
        <f t="shared" ca="1" si="44"/>
        <v>15.538222222222226</v>
      </c>
      <c r="BF35" s="173">
        <f t="shared" ca="1" si="45"/>
        <v>15.538222222222226</v>
      </c>
      <c r="BG35" s="180"/>
      <c r="BH35" s="180"/>
      <c r="BI35" s="166">
        <f t="shared" ca="1" si="29"/>
        <v>37.129931623931625</v>
      </c>
      <c r="BJ35" s="167">
        <f t="shared" ca="1" si="46"/>
        <v>7.425986324786324</v>
      </c>
      <c r="BK35" s="167">
        <f t="shared" ca="1" si="47"/>
        <v>14.851972649572648</v>
      </c>
      <c r="BL35" s="167">
        <f t="shared" ca="1" si="48"/>
        <v>14.851972649572648</v>
      </c>
      <c r="BM35" s="178"/>
      <c r="BN35" s="178"/>
      <c r="BO35" s="169">
        <f t="shared" ca="1" si="32"/>
        <v>61.153661538461535</v>
      </c>
      <c r="BP35" s="170">
        <f ca="1">INDEX('Cap based on indoor unit SZ'!$V$43:$V$58,MATCH(AE35,'Cap based on indoor unit SZ'!$U$43:$U$58))</f>
        <v>11.956020512820512</v>
      </c>
      <c r="BQ35" s="170">
        <f ca="1">INDEX('Cap based on indoor unit SZ'!$V$43:$V$58,MATCH(AF35,'Cap based on indoor unit SZ'!$U$43:$U$58))</f>
        <v>24.598820512820513</v>
      </c>
      <c r="BR35" s="170">
        <f ca="1">INDEX('Cap based on indoor unit SZ'!$V$43:$V$58,MATCH(AG35,'Cap based on indoor unit SZ'!$U$43:$U$58))</f>
        <v>24.598820512820513</v>
      </c>
      <c r="BS35" s="179"/>
      <c r="BT35" s="179"/>
      <c r="BU35" s="175">
        <v>8500</v>
      </c>
      <c r="BV35" s="175">
        <v>14500</v>
      </c>
      <c r="BW35" s="175">
        <v>14500</v>
      </c>
      <c r="BX35" s="179"/>
      <c r="BY35" s="179"/>
      <c r="BZ35" s="172">
        <f t="shared" ca="1" si="33"/>
        <v>37.129931623931625</v>
      </c>
      <c r="CA35" s="173">
        <f t="shared" ca="1" si="49"/>
        <v>7.425986324786324</v>
      </c>
      <c r="CB35" s="173">
        <f t="shared" ca="1" si="50"/>
        <v>14.851972649572648</v>
      </c>
      <c r="CC35" s="173">
        <f t="shared" ca="1" si="51"/>
        <v>14.851972649572648</v>
      </c>
      <c r="CD35" s="180"/>
      <c r="CE35" s="180"/>
      <c r="CF35" s="166">
        <f t="shared" ca="1" si="36"/>
        <v>31.07632998587561</v>
      </c>
      <c r="CG35" s="167">
        <f t="shared" ca="1" si="37"/>
        <v>6.2152659971751225</v>
      </c>
      <c r="CH35" s="167">
        <f t="shared" ca="1" si="38"/>
        <v>12.430531994350245</v>
      </c>
      <c r="CI35" s="167">
        <f t="shared" ca="1" si="52"/>
        <v>12.430531994350245</v>
      </c>
      <c r="CJ35" s="178"/>
      <c r="CK35" s="178"/>
    </row>
    <row r="36" spans="2:89">
      <c r="B36" s="196">
        <v>30</v>
      </c>
      <c r="C36" s="197">
        <v>75.2</v>
      </c>
      <c r="D36" s="197">
        <v>62.6</v>
      </c>
      <c r="E36" s="198" t="s">
        <v>15</v>
      </c>
      <c r="F36" s="199">
        <v>40.32</v>
      </c>
      <c r="G36" s="200">
        <v>41.32</v>
      </c>
      <c r="H36" s="200">
        <v>41.49</v>
      </c>
      <c r="I36" s="200">
        <v>40.729999999999997</v>
      </c>
      <c r="J36" s="200">
        <v>40.36</v>
      </c>
      <c r="K36" s="200">
        <v>42.03</v>
      </c>
      <c r="L36" s="201">
        <v>41.38</v>
      </c>
      <c r="M36" s="201">
        <v>41.02</v>
      </c>
      <c r="N36" s="201">
        <v>39.049999999999997</v>
      </c>
      <c r="O36" s="201">
        <v>30.47</v>
      </c>
      <c r="P36" s="201">
        <v>28.68</v>
      </c>
      <c r="Q36" s="202">
        <v>25.34</v>
      </c>
      <c r="R36" s="203">
        <f t="shared" ca="1" si="39"/>
        <v>39.049999999999997</v>
      </c>
      <c r="S36" s="152"/>
      <c r="T36" s="152"/>
      <c r="U36" s="146"/>
      <c r="V36" s="148"/>
      <c r="W36" s="145"/>
      <c r="X36" s="152"/>
      <c r="Y36" s="152"/>
      <c r="AC36" s="164" t="s">
        <v>217</v>
      </c>
      <c r="AD36" s="164">
        <v>30</v>
      </c>
      <c r="AE36" s="165">
        <v>12</v>
      </c>
      <c r="AF36" s="165">
        <v>12</v>
      </c>
      <c r="AG36" s="165">
        <v>12</v>
      </c>
      <c r="AH36" s="164"/>
      <c r="AI36" s="164"/>
      <c r="AJ36" s="501"/>
      <c r="AK36" s="166">
        <f t="shared" ca="1" si="21"/>
        <v>38.845555555555563</v>
      </c>
      <c r="AL36" s="167">
        <f t="shared" ca="1" si="40"/>
        <v>12.948518518518521</v>
      </c>
      <c r="AM36" s="167">
        <f t="shared" ca="1" si="41"/>
        <v>12.948518518518521</v>
      </c>
      <c r="AN36" s="167">
        <f t="shared" ca="1" si="42"/>
        <v>12.948518518518521</v>
      </c>
      <c r="AO36" s="178"/>
      <c r="AP36" s="178"/>
      <c r="AQ36" s="169">
        <f t="shared" ca="1" si="24"/>
        <v>39.236666666666672</v>
      </c>
      <c r="AR36" s="170">
        <f ca="1">INDEX('Cap based on indoor unit SZ'!$J$6:$J$21,MATCH(AE36,'Cap based on indoor unit SZ'!$I$6:$I$21))</f>
        <v>13.078888888888891</v>
      </c>
      <c r="AS36" s="170">
        <f ca="1">INDEX('Cap based on indoor unit SZ'!$J$6:$J$21,MATCH(AF36,'Cap based on indoor unit SZ'!$I$6:$I$21))</f>
        <v>13.078888888888891</v>
      </c>
      <c r="AT36" s="170">
        <f ca="1">INDEX('Cap based on indoor unit SZ'!$J$6:$J$21,MATCH(AG36,'Cap based on indoor unit SZ'!$I$6:$I$21))</f>
        <v>13.078888888888891</v>
      </c>
      <c r="AU36" s="179"/>
      <c r="AV36" s="179"/>
      <c r="AW36" s="169">
        <f t="shared" si="25"/>
        <v>33.999000000000002</v>
      </c>
      <c r="AX36" s="170">
        <v>11.333</v>
      </c>
      <c r="AY36" s="170">
        <v>11.333</v>
      </c>
      <c r="AZ36" s="170">
        <v>11.333</v>
      </c>
      <c r="BA36" s="179"/>
      <c r="BB36" s="179"/>
      <c r="BC36" s="172">
        <f t="shared" ca="1" si="26"/>
        <v>38.845555555555563</v>
      </c>
      <c r="BD36" s="173">
        <f t="shared" ca="1" si="43"/>
        <v>12.948518518518521</v>
      </c>
      <c r="BE36" s="173">
        <f t="shared" ca="1" si="44"/>
        <v>12.948518518518521</v>
      </c>
      <c r="BF36" s="173">
        <f t="shared" ca="1" si="45"/>
        <v>12.948518518518521</v>
      </c>
      <c r="BG36" s="180"/>
      <c r="BH36" s="180"/>
      <c r="BI36" s="166">
        <f t="shared" ca="1" si="29"/>
        <v>37.129931623931611</v>
      </c>
      <c r="BJ36" s="167">
        <f t="shared" ca="1" si="46"/>
        <v>12.376643874643872</v>
      </c>
      <c r="BK36" s="167">
        <f t="shared" ca="1" si="47"/>
        <v>12.376643874643872</v>
      </c>
      <c r="BL36" s="167">
        <f t="shared" ca="1" si="48"/>
        <v>12.376643874643872</v>
      </c>
      <c r="BM36" s="178"/>
      <c r="BN36" s="178"/>
      <c r="BO36" s="169">
        <f t="shared" ca="1" si="32"/>
        <v>44.835076923076926</v>
      </c>
      <c r="BP36" s="170">
        <f ca="1">INDEX('Cap based on indoor unit SZ'!$V$43:$V$58,MATCH(AE36,'Cap based on indoor unit SZ'!$U$43:$U$58))</f>
        <v>14.945025641025641</v>
      </c>
      <c r="BQ36" s="170">
        <f ca="1">INDEX('Cap based on indoor unit SZ'!$V$43:$V$58,MATCH(AF36,'Cap based on indoor unit SZ'!$U$43:$U$58))</f>
        <v>14.945025641025641</v>
      </c>
      <c r="BR36" s="170">
        <f ca="1">INDEX('Cap based on indoor unit SZ'!$V$43:$V$58,MATCH(AG36,'Cap based on indoor unit SZ'!$U$43:$U$58))</f>
        <v>14.945025641025641</v>
      </c>
      <c r="BS36" s="179"/>
      <c r="BT36" s="179"/>
      <c r="BU36" s="175">
        <v>12000</v>
      </c>
      <c r="BV36" s="175">
        <v>12000</v>
      </c>
      <c r="BW36" s="175">
        <v>12000</v>
      </c>
      <c r="BX36" s="179"/>
      <c r="BY36" s="179"/>
      <c r="BZ36" s="172">
        <f t="shared" ca="1" si="33"/>
        <v>37.129931623931611</v>
      </c>
      <c r="CA36" s="173">
        <f t="shared" ca="1" si="49"/>
        <v>12.376643874643872</v>
      </c>
      <c r="CB36" s="173">
        <f t="shared" ca="1" si="50"/>
        <v>12.376643874643872</v>
      </c>
      <c r="CC36" s="173">
        <f t="shared" ca="1" si="51"/>
        <v>12.376643874643872</v>
      </c>
      <c r="CD36" s="180"/>
      <c r="CE36" s="180"/>
      <c r="CF36" s="166">
        <f t="shared" ca="1" si="36"/>
        <v>31.07632998587561</v>
      </c>
      <c r="CG36" s="167">
        <f t="shared" ca="1" si="37"/>
        <v>10.358776661958537</v>
      </c>
      <c r="CH36" s="167">
        <f t="shared" ca="1" si="38"/>
        <v>10.358776661958537</v>
      </c>
      <c r="CI36" s="167">
        <f t="shared" ca="1" si="52"/>
        <v>10.358776661958537</v>
      </c>
      <c r="CJ36" s="178"/>
      <c r="CK36" s="178"/>
    </row>
    <row r="37" spans="2:89">
      <c r="B37" s="196">
        <v>30</v>
      </c>
      <c r="C37" s="197">
        <v>80.599999999999994</v>
      </c>
      <c r="D37" s="197">
        <v>66.2</v>
      </c>
      <c r="E37" s="198" t="s">
        <v>15</v>
      </c>
      <c r="F37" s="199">
        <v>41.13</v>
      </c>
      <c r="G37" s="200">
        <v>42.15</v>
      </c>
      <c r="H37" s="200">
        <v>42.51</v>
      </c>
      <c r="I37" s="200">
        <v>42.61</v>
      </c>
      <c r="J37" s="200">
        <v>42.1</v>
      </c>
      <c r="K37" s="200">
        <v>42.61</v>
      </c>
      <c r="L37" s="201">
        <v>42.41</v>
      </c>
      <c r="M37" s="201">
        <v>40.630000000000003</v>
      </c>
      <c r="N37" s="201">
        <v>38.82</v>
      </c>
      <c r="O37" s="201">
        <v>32.17</v>
      </c>
      <c r="P37" s="201">
        <v>30.47</v>
      </c>
      <c r="Q37" s="202">
        <v>27.53</v>
      </c>
      <c r="R37" s="203">
        <f t="shared" ca="1" si="39"/>
        <v>38.820000000000007</v>
      </c>
      <c r="S37" s="152"/>
      <c r="T37" s="152"/>
      <c r="U37" s="146" t="s">
        <v>97</v>
      </c>
      <c r="V37" s="147">
        <f ca="1">TREND(R35:R38,C35:C38,INDOOR_DB)</f>
        <v>39.308181818181822</v>
      </c>
      <c r="W37" s="145"/>
      <c r="X37" s="152"/>
      <c r="Y37" s="152"/>
      <c r="AC37" s="164" t="s">
        <v>169</v>
      </c>
      <c r="AD37" s="164">
        <v>30</v>
      </c>
      <c r="AE37" s="165">
        <v>12</v>
      </c>
      <c r="AF37" s="165">
        <v>12</v>
      </c>
      <c r="AG37" s="165">
        <v>18</v>
      </c>
      <c r="AH37" s="164"/>
      <c r="AI37" s="164"/>
      <c r="AJ37" s="501"/>
      <c r="AK37" s="166">
        <f t="shared" ca="1" si="21"/>
        <v>38.84555555555557</v>
      </c>
      <c r="AL37" s="167">
        <f t="shared" ca="1" si="40"/>
        <v>11.098730158730163</v>
      </c>
      <c r="AM37" s="167">
        <f t="shared" ca="1" si="41"/>
        <v>11.098730158730163</v>
      </c>
      <c r="AN37" s="167">
        <f t="shared" ca="1" si="42"/>
        <v>16.648095238095244</v>
      </c>
      <c r="AO37" s="178"/>
      <c r="AP37" s="178"/>
      <c r="AQ37" s="169">
        <f t="shared" ca="1" si="24"/>
        <v>45.978888888888889</v>
      </c>
      <c r="AR37" s="170">
        <f ca="1">INDEX('Cap based on indoor unit SZ'!$J$6:$J$21,MATCH(AE37,'Cap based on indoor unit SZ'!$I$6:$I$21))</f>
        <v>13.078888888888891</v>
      </c>
      <c r="AS37" s="170">
        <f ca="1">INDEX('Cap based on indoor unit SZ'!$J$6:$J$21,MATCH(AF37,'Cap based on indoor unit SZ'!$I$6:$I$21))</f>
        <v>13.078888888888891</v>
      </c>
      <c r="AT37" s="170">
        <f ca="1">INDEX('Cap based on indoor unit SZ'!$J$6:$J$21,MATCH(AG37,'Cap based on indoor unit SZ'!$I$6:$I$21))</f>
        <v>19.821111111111112</v>
      </c>
      <c r="AU37" s="179"/>
      <c r="AV37" s="179"/>
      <c r="AW37" s="169">
        <f t="shared" si="25"/>
        <v>36</v>
      </c>
      <c r="AX37" s="170">
        <v>11</v>
      </c>
      <c r="AY37" s="170">
        <v>11</v>
      </c>
      <c r="AZ37" s="170">
        <v>14</v>
      </c>
      <c r="BA37" s="179"/>
      <c r="BB37" s="179"/>
      <c r="BC37" s="172">
        <f t="shared" ca="1" si="26"/>
        <v>38.84555555555557</v>
      </c>
      <c r="BD37" s="173">
        <f t="shared" ca="1" si="43"/>
        <v>11.098730158730163</v>
      </c>
      <c r="BE37" s="173">
        <f t="shared" ca="1" si="44"/>
        <v>11.098730158730163</v>
      </c>
      <c r="BF37" s="173">
        <f t="shared" ca="1" si="45"/>
        <v>16.648095238095244</v>
      </c>
      <c r="BG37" s="180"/>
      <c r="BH37" s="180"/>
      <c r="BI37" s="166">
        <f t="shared" ca="1" si="29"/>
        <v>37.129931623931625</v>
      </c>
      <c r="BJ37" s="167">
        <f t="shared" ca="1" si="46"/>
        <v>10.608551892551892</v>
      </c>
      <c r="BK37" s="167">
        <f t="shared" ca="1" si="47"/>
        <v>10.608551892551892</v>
      </c>
      <c r="BL37" s="167">
        <f t="shared" ca="1" si="48"/>
        <v>15.912827838827839</v>
      </c>
      <c r="BM37" s="178"/>
      <c r="BN37" s="178"/>
      <c r="BO37" s="169">
        <f t="shared" ca="1" si="32"/>
        <v>54.488871794871798</v>
      </c>
      <c r="BP37" s="170">
        <f ca="1">INDEX('Cap based on indoor unit SZ'!$V$43:$V$58,MATCH(AE37,'Cap based on indoor unit SZ'!$U$43:$U$58))</f>
        <v>14.945025641025641</v>
      </c>
      <c r="BQ37" s="170">
        <f ca="1">INDEX('Cap based on indoor unit SZ'!$V$43:$V$58,MATCH(AF37,'Cap based on indoor unit SZ'!$U$43:$U$58))</f>
        <v>14.945025641025641</v>
      </c>
      <c r="BR37" s="170">
        <f ca="1">INDEX('Cap based on indoor unit SZ'!$V$43:$V$58,MATCH(AG37,'Cap based on indoor unit SZ'!$U$43:$U$58))</f>
        <v>24.598820512820513</v>
      </c>
      <c r="BS37" s="179"/>
      <c r="BT37" s="179"/>
      <c r="BU37" s="175">
        <v>12000</v>
      </c>
      <c r="BV37" s="175">
        <v>12000</v>
      </c>
      <c r="BW37" s="175">
        <v>15000</v>
      </c>
      <c r="BX37" s="179"/>
      <c r="BY37" s="179"/>
      <c r="BZ37" s="172">
        <f t="shared" ca="1" si="33"/>
        <v>37.129931623931625</v>
      </c>
      <c r="CA37" s="173">
        <f t="shared" ca="1" si="49"/>
        <v>10.608551892551892</v>
      </c>
      <c r="CB37" s="173">
        <f t="shared" ca="1" si="50"/>
        <v>10.608551892551892</v>
      </c>
      <c r="CC37" s="173">
        <f t="shared" ca="1" si="51"/>
        <v>15.912827838827839</v>
      </c>
      <c r="CD37" s="180"/>
      <c r="CE37" s="180"/>
      <c r="CF37" s="166">
        <f t="shared" ca="1" si="36"/>
        <v>31.076329985875617</v>
      </c>
      <c r="CG37" s="167">
        <f t="shared" ca="1" si="37"/>
        <v>8.8789514245358916</v>
      </c>
      <c r="CH37" s="167">
        <f t="shared" ca="1" si="38"/>
        <v>8.8789514245358916</v>
      </c>
      <c r="CI37" s="167">
        <f t="shared" ca="1" si="52"/>
        <v>13.318427136803836</v>
      </c>
      <c r="CJ37" s="178"/>
      <c r="CK37" s="178"/>
    </row>
    <row r="38" spans="2:89" ht="14.4" thickBot="1">
      <c r="B38" s="204">
        <v>30</v>
      </c>
      <c r="C38" s="205">
        <v>89.6</v>
      </c>
      <c r="D38" s="205">
        <v>73.400000000000006</v>
      </c>
      <c r="E38" s="206" t="s">
        <v>15</v>
      </c>
      <c r="F38" s="207">
        <v>44.41</v>
      </c>
      <c r="G38" s="208">
        <v>45.52</v>
      </c>
      <c r="H38" s="208">
        <v>45.91</v>
      </c>
      <c r="I38" s="208">
        <v>46.02</v>
      </c>
      <c r="J38" s="208">
        <v>45.47</v>
      </c>
      <c r="K38" s="208">
        <v>46.02</v>
      </c>
      <c r="L38" s="209">
        <v>45.8</v>
      </c>
      <c r="M38" s="209">
        <v>43.88</v>
      </c>
      <c r="N38" s="209">
        <v>41.93</v>
      </c>
      <c r="O38" s="209">
        <v>34.74</v>
      </c>
      <c r="P38" s="209">
        <v>32.909999999999997</v>
      </c>
      <c r="Q38" s="210">
        <v>29.73</v>
      </c>
      <c r="R38" s="211">
        <f t="shared" ca="1" si="39"/>
        <v>41.930000000000007</v>
      </c>
      <c r="S38" s="152"/>
      <c r="T38" s="152"/>
      <c r="U38" s="146"/>
      <c r="V38" s="213"/>
      <c r="W38" s="152"/>
      <c r="X38" s="152"/>
      <c r="Y38" s="152"/>
      <c r="AC38" s="164" t="s">
        <v>167</v>
      </c>
      <c r="AD38" s="164">
        <v>30</v>
      </c>
      <c r="AE38" s="165">
        <v>12</v>
      </c>
      <c r="AF38" s="165">
        <v>18</v>
      </c>
      <c r="AG38" s="165">
        <v>18</v>
      </c>
      <c r="AH38" s="164"/>
      <c r="AI38" s="164"/>
      <c r="AJ38" s="501"/>
      <c r="AK38" s="166">
        <f t="shared" ca="1" si="21"/>
        <v>38.845555555555563</v>
      </c>
      <c r="AL38" s="167">
        <f t="shared" ca="1" si="40"/>
        <v>9.7113888888888908</v>
      </c>
      <c r="AM38" s="167">
        <f t="shared" ca="1" si="41"/>
        <v>14.567083333333336</v>
      </c>
      <c r="AN38" s="167">
        <f t="shared" ca="1" si="42"/>
        <v>14.567083333333336</v>
      </c>
      <c r="AO38" s="178"/>
      <c r="AP38" s="178"/>
      <c r="AQ38" s="169">
        <f t="shared" ca="1" si="24"/>
        <v>52.721111111111114</v>
      </c>
      <c r="AR38" s="170">
        <f ca="1">INDEX('Cap based on indoor unit SZ'!$J$6:$J$21,MATCH(AE38,'Cap based on indoor unit SZ'!$I$6:$I$21))</f>
        <v>13.078888888888891</v>
      </c>
      <c r="AS38" s="170">
        <f ca="1">INDEX('Cap based on indoor unit SZ'!$J$6:$J$21,MATCH(AF38,'Cap based on indoor unit SZ'!$I$6:$I$21))</f>
        <v>19.821111111111112</v>
      </c>
      <c r="AT38" s="170">
        <f ca="1">INDEX('Cap based on indoor unit SZ'!$J$6:$J$21,MATCH(AG38,'Cap based on indoor unit SZ'!$I$6:$I$21))</f>
        <v>19.821111111111112</v>
      </c>
      <c r="AU38" s="179"/>
      <c r="AV38" s="179"/>
      <c r="AW38" s="169">
        <f t="shared" si="25"/>
        <v>35.999000000000002</v>
      </c>
      <c r="AX38" s="170">
        <v>9.3330000000000002</v>
      </c>
      <c r="AY38" s="170">
        <v>13.333</v>
      </c>
      <c r="AZ38" s="170">
        <v>13.333</v>
      </c>
      <c r="BA38" s="179"/>
      <c r="BB38" s="179"/>
      <c r="BC38" s="172">
        <f t="shared" ca="1" si="26"/>
        <v>38.845555555555563</v>
      </c>
      <c r="BD38" s="173">
        <f t="shared" ca="1" si="43"/>
        <v>9.7113888888888908</v>
      </c>
      <c r="BE38" s="173">
        <f t="shared" ca="1" si="44"/>
        <v>14.567083333333336</v>
      </c>
      <c r="BF38" s="173">
        <f t="shared" ca="1" si="45"/>
        <v>14.567083333333336</v>
      </c>
      <c r="BG38" s="180"/>
      <c r="BH38" s="180"/>
      <c r="BI38" s="166">
        <f t="shared" ca="1" si="29"/>
        <v>37.129931623931625</v>
      </c>
      <c r="BJ38" s="167">
        <f t="shared" ca="1" si="46"/>
        <v>9.2824829059829046</v>
      </c>
      <c r="BK38" s="167">
        <f t="shared" ca="1" si="47"/>
        <v>13.923724358974358</v>
      </c>
      <c r="BL38" s="167">
        <f t="shared" ca="1" si="48"/>
        <v>13.923724358974358</v>
      </c>
      <c r="BM38" s="178"/>
      <c r="BN38" s="178"/>
      <c r="BO38" s="169">
        <f t="shared" ca="1" si="32"/>
        <v>64.14266666666667</v>
      </c>
      <c r="BP38" s="170">
        <f ca="1">INDEX('Cap based on indoor unit SZ'!$V$43:$V$58,MATCH(AE38,'Cap based on indoor unit SZ'!$U$43:$U$58))</f>
        <v>14.945025641025641</v>
      </c>
      <c r="BQ38" s="170">
        <f ca="1">INDEX('Cap based on indoor unit SZ'!$V$43:$V$58,MATCH(AF38,'Cap based on indoor unit SZ'!$U$43:$U$58))</f>
        <v>24.598820512820513</v>
      </c>
      <c r="BR38" s="170">
        <f ca="1">INDEX('Cap based on indoor unit SZ'!$V$43:$V$58,MATCH(AG38,'Cap based on indoor unit SZ'!$U$43:$U$58))</f>
        <v>24.598820512820513</v>
      </c>
      <c r="BS38" s="179"/>
      <c r="BT38" s="179"/>
      <c r="BU38" s="175">
        <v>10000</v>
      </c>
      <c r="BV38" s="175">
        <v>14500</v>
      </c>
      <c r="BW38" s="175">
        <v>14500</v>
      </c>
      <c r="BX38" s="179"/>
      <c r="BY38" s="179"/>
      <c r="BZ38" s="172">
        <f t="shared" ca="1" si="33"/>
        <v>37.129931623931625</v>
      </c>
      <c r="CA38" s="173">
        <f t="shared" ca="1" si="49"/>
        <v>9.2824829059829046</v>
      </c>
      <c r="CB38" s="173">
        <f t="shared" ca="1" si="50"/>
        <v>13.923724358974358</v>
      </c>
      <c r="CC38" s="173">
        <f t="shared" ca="1" si="51"/>
        <v>13.923724358974358</v>
      </c>
      <c r="CD38" s="180"/>
      <c r="CE38" s="180"/>
      <c r="CF38" s="166">
        <f t="shared" ca="1" si="36"/>
        <v>31.07632998587561</v>
      </c>
      <c r="CG38" s="167">
        <f t="shared" ca="1" si="37"/>
        <v>7.7690824964689034</v>
      </c>
      <c r="CH38" s="167">
        <f t="shared" ca="1" si="38"/>
        <v>11.653623744703355</v>
      </c>
      <c r="CI38" s="167">
        <f t="shared" ca="1" si="52"/>
        <v>11.653623744703355</v>
      </c>
      <c r="CJ38" s="178"/>
      <c r="CK38" s="178"/>
    </row>
    <row r="39" spans="2:89">
      <c r="B39" s="188">
        <v>36</v>
      </c>
      <c r="C39" s="189">
        <v>69.8</v>
      </c>
      <c r="D39" s="189">
        <v>59</v>
      </c>
      <c r="E39" s="190" t="s">
        <v>15</v>
      </c>
      <c r="F39" s="191">
        <v>37.82</v>
      </c>
      <c r="G39" s="192">
        <v>38.76</v>
      </c>
      <c r="H39" s="192">
        <v>38.32</v>
      </c>
      <c r="I39" s="192">
        <v>39.020000000000003</v>
      </c>
      <c r="J39" s="192">
        <v>39.409999999999997</v>
      </c>
      <c r="K39" s="192">
        <v>40.44</v>
      </c>
      <c r="L39" s="193">
        <v>40.909999999999997</v>
      </c>
      <c r="M39" s="193">
        <v>36.89</v>
      </c>
      <c r="N39" s="193">
        <v>33.97</v>
      </c>
      <c r="O39" s="193">
        <v>27.85</v>
      </c>
      <c r="P39" s="193">
        <v>25.6</v>
      </c>
      <c r="Q39" s="194">
        <v>23.33</v>
      </c>
      <c r="R39" s="195">
        <f t="shared" ca="1" si="39"/>
        <v>33.97</v>
      </c>
      <c r="S39" s="152"/>
      <c r="T39" s="152"/>
      <c r="U39" s="146" t="s">
        <v>96</v>
      </c>
      <c r="V39" s="147">
        <f ca="1">FORECAST(INDOOR_DB,OFFSET(R39:R42,MATCH(INDOOR_DB,C39:C42,1)-1,0,2),OFFSET(C39:C42,MATCH(INDOOR_DB,C39:C42,1)-1,0,2))</f>
        <v>40.956666666666656</v>
      </c>
      <c r="W39" s="145">
        <f>B39</f>
        <v>36</v>
      </c>
      <c r="X39" s="147">
        <f ca="1">IF(OR(INDOOR_DB&lt;C39,INDOOR_DB&gt;C42),V41,V39)</f>
        <v>40.956666666666656</v>
      </c>
      <c r="Y39" s="152"/>
      <c r="AC39" s="164" t="s">
        <v>214</v>
      </c>
      <c r="AD39" s="164">
        <v>30</v>
      </c>
      <c r="AE39" s="165">
        <v>12</v>
      </c>
      <c r="AF39" s="165">
        <v>12</v>
      </c>
      <c r="AG39" s="165">
        <v>24</v>
      </c>
      <c r="AH39" s="165"/>
      <c r="AI39" s="164"/>
      <c r="AJ39" s="501"/>
      <c r="AK39" s="166">
        <f t="shared" ca="1" si="21"/>
        <v>38.845555555555563</v>
      </c>
      <c r="AL39" s="167">
        <f t="shared" ca="1" si="40"/>
        <v>9.7113888888888908</v>
      </c>
      <c r="AM39" s="167">
        <f t="shared" ca="1" si="41"/>
        <v>9.7113888888888908</v>
      </c>
      <c r="AN39" s="167">
        <f t="shared" ca="1" si="42"/>
        <v>19.422777777777782</v>
      </c>
      <c r="AO39" s="178"/>
      <c r="AP39" s="178"/>
      <c r="AQ39" s="169">
        <f t="shared" ca="1" si="24"/>
        <v>50.61</v>
      </c>
      <c r="AR39" s="170">
        <f ca="1">INDEX('Cap based on indoor unit SZ'!$J$6:$J$21,MATCH(AE39,'Cap based on indoor unit SZ'!$I$6:$I$21))</f>
        <v>13.078888888888891</v>
      </c>
      <c r="AS39" s="170">
        <f ca="1">INDEX('Cap based on indoor unit SZ'!$J$6:$J$21,MATCH(AF39,'Cap based on indoor unit SZ'!$I$6:$I$21))</f>
        <v>13.078888888888891</v>
      </c>
      <c r="AT39" s="170">
        <f ca="1">INDEX('Cap based on indoor unit SZ'!$J$6:$J$21,MATCH(AG39,'Cap based on indoor unit SZ'!$I$6:$I$21))</f>
        <v>24.452222222222218</v>
      </c>
      <c r="AU39" s="179"/>
      <c r="AV39" s="179"/>
      <c r="AW39" s="169">
        <f t="shared" si="25"/>
        <v>36</v>
      </c>
      <c r="AX39" s="170">
        <v>8</v>
      </c>
      <c r="AY39" s="170">
        <v>8</v>
      </c>
      <c r="AZ39" s="170">
        <v>20</v>
      </c>
      <c r="BA39" s="179"/>
      <c r="BB39" s="179"/>
      <c r="BC39" s="172">
        <f t="shared" ca="1" si="26"/>
        <v>38.845555555555563</v>
      </c>
      <c r="BD39" s="173">
        <f t="shared" ca="1" si="43"/>
        <v>9.7113888888888908</v>
      </c>
      <c r="BE39" s="173">
        <f t="shared" ca="1" si="44"/>
        <v>9.7113888888888908</v>
      </c>
      <c r="BF39" s="173">
        <f t="shared" ca="1" si="45"/>
        <v>19.422777777777782</v>
      </c>
      <c r="BG39" s="180"/>
      <c r="BH39" s="180"/>
      <c r="BI39" s="166">
        <f t="shared" ca="1" si="29"/>
        <v>37.129931623931618</v>
      </c>
      <c r="BJ39" s="167">
        <f t="shared" ca="1" si="46"/>
        <v>9.2824829059829046</v>
      </c>
      <c r="BK39" s="167">
        <f t="shared" ca="1" si="47"/>
        <v>9.2824829059829046</v>
      </c>
      <c r="BL39" s="167">
        <f t="shared" ca="1" si="48"/>
        <v>18.564965811965809</v>
      </c>
      <c r="BM39" s="178"/>
      <c r="BN39" s="178"/>
      <c r="BO39" s="169">
        <f t="shared" ca="1" si="32"/>
        <v>60.180051282051281</v>
      </c>
      <c r="BP39" s="170">
        <f ca="1">INDEX('Cap based on indoor unit SZ'!$V$43:$V$58,MATCH(AE39,'Cap based on indoor unit SZ'!$U$43:$U$58))</f>
        <v>14.945025641025641</v>
      </c>
      <c r="BQ39" s="170">
        <f ca="1">INDEX('Cap based on indoor unit SZ'!$V$43:$V$58,MATCH(AF39,'Cap based on indoor unit SZ'!$U$43:$U$58))</f>
        <v>14.945025641025641</v>
      </c>
      <c r="BR39" s="170">
        <f ca="1">INDEX('Cap based on indoor unit SZ'!$V$43:$V$58,MATCH(AG39,'Cap based on indoor unit SZ'!$U$43:$U$58))</f>
        <v>30.290000000000003</v>
      </c>
      <c r="BS39" s="179"/>
      <c r="BT39" s="179"/>
      <c r="BU39" s="175">
        <v>9000</v>
      </c>
      <c r="BV39" s="175">
        <v>9000</v>
      </c>
      <c r="BW39" s="175">
        <v>21000</v>
      </c>
      <c r="BX39" s="179"/>
      <c r="BY39" s="179"/>
      <c r="BZ39" s="172">
        <f t="shared" ca="1" si="33"/>
        <v>37.129931623931618</v>
      </c>
      <c r="CA39" s="173">
        <f t="shared" ca="1" si="49"/>
        <v>9.2824829059829046</v>
      </c>
      <c r="CB39" s="173">
        <f t="shared" ca="1" si="50"/>
        <v>9.2824829059829046</v>
      </c>
      <c r="CC39" s="173">
        <f t="shared" ca="1" si="51"/>
        <v>18.564965811965809</v>
      </c>
      <c r="CD39" s="180"/>
      <c r="CE39" s="180"/>
      <c r="CF39" s="166">
        <f t="shared" ca="1" si="36"/>
        <v>31.076329985875613</v>
      </c>
      <c r="CG39" s="167">
        <f t="shared" ca="1" si="37"/>
        <v>7.7690824964689034</v>
      </c>
      <c r="CH39" s="167">
        <f t="shared" ca="1" si="38"/>
        <v>7.7690824964689034</v>
      </c>
      <c r="CI39" s="167">
        <f t="shared" ca="1" si="52"/>
        <v>15.538164992937807</v>
      </c>
      <c r="CJ39" s="178"/>
      <c r="CK39" s="178"/>
    </row>
    <row r="40" spans="2:89">
      <c r="B40" s="196">
        <v>36</v>
      </c>
      <c r="C40" s="197">
        <v>75.2</v>
      </c>
      <c r="D40" s="197">
        <v>62.6</v>
      </c>
      <c r="E40" s="198" t="s">
        <v>15</v>
      </c>
      <c r="F40" s="199">
        <v>38.96</v>
      </c>
      <c r="G40" s="200">
        <v>39.93</v>
      </c>
      <c r="H40" s="200">
        <v>39.47</v>
      </c>
      <c r="I40" s="200">
        <v>40.19</v>
      </c>
      <c r="J40" s="200">
        <v>40.590000000000003</v>
      </c>
      <c r="K40" s="200">
        <v>41.65</v>
      </c>
      <c r="L40" s="201">
        <v>42.54</v>
      </c>
      <c r="M40" s="201">
        <v>39.840000000000003</v>
      </c>
      <c r="N40" s="201">
        <v>36.69</v>
      </c>
      <c r="O40" s="201">
        <v>30.07</v>
      </c>
      <c r="P40" s="201">
        <v>27.65</v>
      </c>
      <c r="Q40" s="202">
        <v>25.2</v>
      </c>
      <c r="R40" s="203">
        <f t="shared" ca="1" si="39"/>
        <v>36.69</v>
      </c>
      <c r="S40" s="152"/>
      <c r="T40" s="152"/>
      <c r="U40" s="146"/>
      <c r="V40" s="148"/>
      <c r="W40" s="145"/>
      <c r="X40" s="152"/>
      <c r="Y40" s="152"/>
      <c r="AC40" s="164" t="s">
        <v>162</v>
      </c>
      <c r="AD40" s="164">
        <v>30</v>
      </c>
      <c r="AE40" s="165">
        <v>9</v>
      </c>
      <c r="AF40" s="165">
        <v>9</v>
      </c>
      <c r="AG40" s="165">
        <v>9</v>
      </c>
      <c r="AH40" s="165">
        <v>9</v>
      </c>
      <c r="AI40" s="164"/>
      <c r="AJ40" s="510">
        <v>4</v>
      </c>
      <c r="AK40" s="166">
        <f t="shared" ca="1" si="21"/>
        <v>38.845555555555563</v>
      </c>
      <c r="AL40" s="167">
        <f t="shared" ref="AL40:AL46" ca="1" si="53">IF((INDEX($AA$4:$AA$7,MATCH(INDOOR_1,$Z$4:$Z$7))*(INDEX($X$27:$X$46,MATCH($AD40,$W$27:$W$46,1))/(INDEX($AA$4:$AA$7,MATCH(INDOOR_1,$Z$4:$Z$7))+INDEX($AA$4:$AA$7,MATCH(INDOOR_2,$Z$4:$Z$7))+INDEX($AA$4:$AA$7,MATCH(INDOOR_3,$Z$4:$Z$7))+INDEX($AA$4:$AA$7,MATCH(INDOOR_4,$Z$4:$Z$7)))))
&gt;AR40,AR40,
(INDEX($AA$4:$AA$7,MATCH(INDOOR_1,$Z$4:$Z$7))*(INDEX($X$27:$X$46,MATCH($AD40,$W$27:$W$46,1))/(INDEX($AA$4:$AA$7,MATCH(INDOOR_1,$Z$4:$Z$7))+INDEX($AA$4:$AA$7,MATCH(INDOOR_2,$Z$4:$Z$7))+INDEX($AA$4:$AA$7,MATCH(INDOOR_3,$Z$4:$Z$7))+INDEX($AA$4:$AA$7,MATCH(INDOOR_4,$Z$4:$Z$7))))))</f>
        <v>9.7113888888888908</v>
      </c>
      <c r="AM40" s="167">
        <f t="shared" ref="AM40:AM46" ca="1" si="54">IF((INDEX($AA$4:$AA$7,MATCH(INDOOR_2,$Z$4:$Z$7))*(INDEX($X$27:$X$46,MATCH($AD40,$W$27:$W$46,1))/(INDEX($AA$4:$AA$7,MATCH(INDOOR_1,$Z$4:$Z$7))+INDEX($AA$4:$AA$7,MATCH(INDOOR_2,$Z$4:$Z$7))+INDEX($AA$4:$AA$7,MATCH(INDOOR_3,$Z$4:$Z$7))+INDEX($AA$4:$AA$7,MATCH(INDOOR_4,$Z$4:$Z$7)))))
&gt;AS40,AS40,
(INDEX($AA$4:$AA$7,MATCH(INDOOR_2,$Z$4:$Z$7))*(INDEX($X$27:$X$46,MATCH($AD40,$W$27:$W$46,1))/(INDEX($AA$4:$AA$7,MATCH(INDOOR_1,$Z$4:$Z$7))+INDEX($AA$4:$AA$7,MATCH(INDOOR_2,$Z$4:$Z$7))+INDEX($AA$4:$AA$7,MATCH(INDOOR_3,$Z$4:$Z$7))+INDEX($AA$4:$AA$7,MATCH(INDOOR_4,$Z$4:$Z$7))))))</f>
        <v>9.7113888888888908</v>
      </c>
      <c r="AN40" s="167">
        <f t="shared" ref="AN40:AN46" ca="1" si="55">IF((INDEX($AA$4:$AA$7,MATCH(INDOOR_3,$Z$4:$Z$7))*(INDEX($X$27:$X$46,MATCH($AD40,$W$27:$W$46,1))/(INDEX($AA$4:$AA$7,MATCH(INDOOR_1,$Z$4:$Z$7))+INDEX($AA$4:$AA$7,MATCH(INDOOR_2,$Z$4:$Z$7))+INDEX($AA$4:$AA$7,MATCH(INDOOR_3,$Z$4:$Z$7))+INDEX($AA$4:$AA$7,MATCH(INDOOR_4,$Z$4:$Z$7)))))
&gt;AT40,AT40,
(INDEX($AA$4:$AA$7,MATCH(INDOOR_3,$Z$4:$Z$7))*(INDEX($X$27:$X$46,MATCH($AD40,$W$27:$W$46,1))/(INDEX($AA$4:$AA$7,MATCH(INDOOR_1,$Z$4:$Z$7))+INDEX($AA$4:$AA$7,MATCH(INDOOR_2,$Z$4:$Z$7))+INDEX($AA$4:$AA$7,MATCH(INDOOR_3,$Z$4:$Z$7))+INDEX($AA$4:$AA$7,MATCH(INDOOR_4,$Z$4:$Z$7))))))</f>
        <v>9.7113888888888908</v>
      </c>
      <c r="AO40" s="167">
        <f t="shared" ref="AO40:AO46" ca="1" si="56">IF((INDEX($AA$4:$AA$7,MATCH(INDOOR_4,$Z$4:$Z$7))*(INDEX($X$27:$X$46,MATCH($AD40,$W$27:$W$46,1))/(INDEX($AA$4:$AA$7,MATCH(INDOOR_1,$Z$4:$Z$7))+INDEX($AA$4:$AA$7,MATCH(INDOOR_2,$Z$4:$Z$7))+INDEX($AA$4:$AA$7,MATCH(INDOOR_3,$Z$4:$Z$7))+INDEX($AA$4:$AA$7,MATCH(INDOOR_4,$Z$4:$Z$7)))))
&gt;AU40,AU40,
(INDEX($AA$4:$AA$7,MATCH(INDOOR_4,$Z$4:$Z$7))*(INDEX($X$27:$X$46,MATCH($AD40,$W$27:$W$46,1))/(INDEX($AA$4:$AA$7,MATCH(INDOOR_1,$Z$4:$Z$7))+INDEX($AA$4:$AA$7,MATCH(INDOOR_2,$Z$4:$Z$7))+INDEX($AA$4:$AA$7,MATCH(INDOOR_3,$Z$4:$Z$7))+INDEX($AA$4:$AA$7,MATCH(INDOOR_4,$Z$4:$Z$7))))))</f>
        <v>9.7113888888888908</v>
      </c>
      <c r="AP40" s="178"/>
      <c r="AQ40" s="169">
        <f t="shared" ca="1" si="24"/>
        <v>41.852444444444444</v>
      </c>
      <c r="AR40" s="170">
        <f ca="1">INDEX('Cap based on indoor unit SZ'!$J$6:$J$21,MATCH(AE40,'Cap based on indoor unit SZ'!$I$6:$I$21))</f>
        <v>10.463111111111111</v>
      </c>
      <c r="AS40" s="170">
        <f ca="1">INDEX('Cap based on indoor unit SZ'!$J$6:$J$21,MATCH(AF40,'Cap based on indoor unit SZ'!$I$6:$I$21))</f>
        <v>10.463111111111111</v>
      </c>
      <c r="AT40" s="170">
        <f ca="1">INDEX('Cap based on indoor unit SZ'!$J$6:$J$21,MATCH(AG40,'Cap based on indoor unit SZ'!$I$6:$I$21))</f>
        <v>10.463111111111111</v>
      </c>
      <c r="AU40" s="170">
        <f ca="1">INDEX('Cap based on indoor unit SZ'!$J$6:$J$21,MATCH(AH40,'Cap based on indoor unit SZ'!$I$6:$I$21))</f>
        <v>10.463111111111111</v>
      </c>
      <c r="AV40" s="179"/>
      <c r="AW40" s="169">
        <f t="shared" si="25"/>
        <v>36</v>
      </c>
      <c r="AX40" s="170">
        <v>9</v>
      </c>
      <c r="AY40" s="170">
        <v>9</v>
      </c>
      <c r="AZ40" s="170">
        <v>9</v>
      </c>
      <c r="BA40" s="170">
        <v>9</v>
      </c>
      <c r="BB40" s="179"/>
      <c r="BC40" s="172">
        <f t="shared" ca="1" si="26"/>
        <v>38.845555555555563</v>
      </c>
      <c r="BD40" s="173">
        <f t="shared" ref="BD40:BG46" ca="1" si="57">(INDEX($AA$4:$AA$7,MATCH(AE40,$Z$4:$Z$7))*(INDEX($X$27:$X$46,MATCH($AD40,$W$27:$W$46,1))/(INDEX($AA$4:$AA$7,MATCH($AE40,$Z$4:$Z$7))+INDEX($AA$4:$AA$7,MATCH($AF40,$Z$4:$Z$7))+INDEX($AA$4:$AA$7,MATCH($AG40,$Z$4:$Z$7))+INDEX($AA$4:$AA$7,MATCH($AH40,$Z$4:$Z$7)))))</f>
        <v>9.7113888888888908</v>
      </c>
      <c r="BE40" s="173">
        <f t="shared" ca="1" si="57"/>
        <v>9.7113888888888908</v>
      </c>
      <c r="BF40" s="173">
        <f t="shared" ca="1" si="57"/>
        <v>9.7113888888888908</v>
      </c>
      <c r="BG40" s="173">
        <f t="shared" ca="1" si="57"/>
        <v>9.7113888888888908</v>
      </c>
      <c r="BH40" s="180"/>
      <c r="BI40" s="166">
        <f t="shared" ca="1" si="29"/>
        <v>37.129931623931618</v>
      </c>
      <c r="BJ40" s="167">
        <f t="shared" ref="BJ40:BJ46" ca="1" si="58">IF((INDEX($AA$4:$AA$7,MATCH(INDOOR_1,$Z$4:$Z$7))*(INDEX($X$118:$X$137,MATCH($AD40,$W$118:$W$137,1))/(INDEX($AA$4:$AA$7,MATCH(INDOOR_1,$Z$4:$Z$7))+INDEX($AA$4:$AA$7,MATCH(INDOOR_2,$Z$4:$Z$7))+INDEX($AA$4:$AA$7,MATCH(INDOOR_3,$Z$4:$Z$7))+INDEX($AA$4:$AA$7,MATCH(INDOOR_4,$Z$4:$Z$7)))))
&gt;BP40,BP40,
(INDEX($AA$4:$AA$7,MATCH(INDOOR_1,$Z$4:$Z$7))*(INDEX($X$118:$X$137,MATCH($AD40,$W$118:$W$137,1))/(INDEX($AA$4:$AA$7,MATCH(INDOOR_1,$Z$4:$Z$7))+INDEX($AA$4:$AA$7,MATCH(INDOOR_2,$Z$4:$Z$7))+INDEX($AA$4:$AA$7,MATCH(INDOOR_3,$Z$4:$Z$7))+INDEX($AA$4:$AA$7,MATCH(INDOOR_4,$Z$4:$Z$7))))))</f>
        <v>9.2824829059829046</v>
      </c>
      <c r="BK40" s="167">
        <f t="shared" ref="BK40:BK46" ca="1" si="59">IF((INDEX($AA$4:$AA$7,MATCH(INDOOR_2,$Z$4:$Z$7))*(INDEX($X$118:$X$137,MATCH($AD40,$W$118:$W$137,1))/(INDEX($AA$4:$AA$7,MATCH(INDOOR_1,$Z$4:$Z$7))+INDEX($AA$4:$AA$7,MATCH(INDOOR_2,$Z$4:$Z$7))+INDEX($AA$4:$AA$7,MATCH(INDOOR_3,$Z$4:$Z$7))+INDEX($AA$4:$AA$7,MATCH(INDOOR_4,$Z$4:$Z$7)))))
&gt;BQ40,BQ40,
(INDEX($AA$4:$AA$7,MATCH(INDOOR_2,$Z$4:$Z$7))*(INDEX($X$118:$X$137,MATCH($AD40,$W$118:$W$137,1))/(INDEX($AA$4:$AA$7,MATCH(INDOOR_1,$Z$4:$Z$7))+INDEX($AA$4:$AA$7,MATCH(INDOOR_2,$Z$4:$Z$7))+INDEX($AA$4:$AA$7,MATCH(INDOOR_3,$Z$4:$Z$7))+INDEX($AA$4:$AA$7,MATCH(INDOOR_4,$Z$4:$Z$7))))))</f>
        <v>9.2824829059829046</v>
      </c>
      <c r="BL40" s="167">
        <f t="shared" ref="BL40:BL46" ca="1" si="60">IF((INDEX($AA$4:$AA$7,MATCH(INDOOR_3,$Z$4:$Z$7))*(INDEX($X$118:$X$137,MATCH($AD40,$W$118:$W$137,1))/(INDEX($AA$4:$AA$7,MATCH(INDOOR_1,$Z$4:$Z$7))+INDEX($AA$4:$AA$7,MATCH(INDOOR_2,$Z$4:$Z$7))+INDEX($AA$4:$AA$7,MATCH(INDOOR_3,$Z$4:$Z$7))+INDEX($AA$4:$AA$7,MATCH(INDOOR_4,$Z$4:$Z$7)))))
&gt;BR40,BR40,
(INDEX($AA$4:$AA$7,MATCH(INDOOR_3,$Z$4:$Z$7))*(INDEX($X$118:$X$137,MATCH($AD40,$W$118:$W$137,1))/(INDEX($AA$4:$AA$7,MATCH(INDOOR_1,$Z$4:$Z$7))+INDEX($AA$4:$AA$7,MATCH(INDOOR_2,$Z$4:$Z$7))+INDEX($AA$4:$AA$7,MATCH(INDOOR_3,$Z$4:$Z$7))+INDEX($AA$4:$AA$7,MATCH(INDOOR_4,$Z$4:$Z$7))))))</f>
        <v>9.2824829059829046</v>
      </c>
      <c r="BM40" s="167">
        <f t="shared" ref="BM40:BM46" ca="1" si="61">IF((INDEX($AA$4:$AA$7,MATCH(INDOOR_4,$Z$4:$Z$7))*(INDEX($X$118:$X$137,MATCH($AD40,$W$118:$W$137,1))/(INDEX($AA$4:$AA$7,MATCH(INDOOR_1,$Z$4:$Z$7))+INDEX($AA$4:$AA$7,MATCH(INDOOR_2,$Z$4:$Z$7))+INDEX($AA$4:$AA$7,MATCH(INDOOR_3,$Z$4:$Z$7))+INDEX($AA$4:$AA$7,MATCH(INDOOR_4,$Z$4:$Z$7)))))
&gt;BS40,BS40,
(INDEX($AA$4:$AA$7,MATCH(INDOOR_4,$Z$4:$Z$7))*(INDEX($X$118:$X$137,MATCH($AD40,$W$118:$W$137,1))/(INDEX($AA$4:$AA$7,MATCH(INDOOR_1,$Z$4:$Z$7))+INDEX($AA$4:$AA$7,MATCH(INDOOR_2,$Z$4:$Z$7))+INDEX($AA$4:$AA$7,MATCH(INDOOR_3,$Z$4:$Z$7))+INDEX($AA$4:$AA$7,MATCH(INDOOR_4,$Z$4:$Z$7))))))</f>
        <v>9.2824829059829046</v>
      </c>
      <c r="BN40" s="178"/>
      <c r="BO40" s="169">
        <f t="shared" ca="1" si="32"/>
        <v>47.824082051282048</v>
      </c>
      <c r="BP40" s="170">
        <f ca="1">INDEX('Cap based on indoor unit SZ'!$V$43:$V$58,MATCH(AE40,'Cap based on indoor unit SZ'!$U$43:$U$58))</f>
        <v>11.956020512820512</v>
      </c>
      <c r="BQ40" s="170">
        <f ca="1">INDEX('Cap based on indoor unit SZ'!$V$43:$V$58,MATCH(AF40,'Cap based on indoor unit SZ'!$U$43:$U$58))</f>
        <v>11.956020512820512</v>
      </c>
      <c r="BR40" s="170">
        <f ca="1">INDEX('Cap based on indoor unit SZ'!$V$43:$V$58,MATCH(AG40,'Cap based on indoor unit SZ'!$U$43:$U$58))</f>
        <v>11.956020512820512</v>
      </c>
      <c r="BS40" s="170">
        <f ca="1">INDEX('Cap based on indoor unit SZ'!$V$43:$V$58,MATCH(AH40,'Cap based on indoor unit SZ'!$U$43:$U$58))</f>
        <v>11.956020512820512</v>
      </c>
      <c r="BT40" s="179"/>
      <c r="BU40" s="175">
        <v>9500</v>
      </c>
      <c r="BV40" s="175">
        <v>9500</v>
      </c>
      <c r="BW40" s="175">
        <v>9500</v>
      </c>
      <c r="BX40" s="175">
        <v>9500</v>
      </c>
      <c r="BY40" s="179"/>
      <c r="BZ40" s="172">
        <f t="shared" ca="1" si="33"/>
        <v>37.129931623931618</v>
      </c>
      <c r="CA40" s="173">
        <f t="shared" ref="CA40:CA46" ca="1" si="62">(INDEX($AA$4:$AA$7,MATCH(INDOOR_1,$Z$4:$Z$7))*(INDEX($X$118:$X$137,MATCH($AD40,$W$118:$W$137,1))/(INDEX($AA$4:$AA$7,MATCH(INDOOR_1,$Z$4:$Z$7))+INDEX($AA$4:$AA$7,MATCH(INDOOR_2,$Z$4:$Z$7))+INDEX($AA$4:$AA$7,MATCH(INDOOR_3,$Z$4:$Z$7))+INDEX($AA$4:$AA$7,MATCH(INDOOR_4,$Z$4:$Z$7)))))</f>
        <v>9.2824829059829046</v>
      </c>
      <c r="CB40" s="173">
        <f t="shared" ref="CB40:CB46" ca="1" si="63">(INDEX($AA$4:$AA$7,MATCH(INDOOR_2,$Z$4:$Z$7))*(INDEX($X$118:$X$137,MATCH($AD40,$W$118:$W$137,1))/(INDEX($AA$4:$AA$7,MATCH(INDOOR_1,$Z$4:$Z$7))+INDEX($AA$4:$AA$7,MATCH(INDOOR_2,$Z$4:$Z$7))+INDEX($AA$4:$AA$7,MATCH(INDOOR_3,$Z$4:$Z$7))+INDEX($AA$4:$AA$7,MATCH(INDOOR_4,$Z$4:$Z$7)))))</f>
        <v>9.2824829059829046</v>
      </c>
      <c r="CC40" s="173">
        <f t="shared" ref="CC40:CC46" ca="1" si="64">(INDEX($AA$4:$AA$7,MATCH(INDOOR_3,$Z$4:$Z$7))*(INDEX($X$118:$X$137,MATCH($AD40,$W$118:$W$137,1))/(INDEX($AA$4:$AA$7,MATCH(INDOOR_1,$Z$4:$Z$7))+INDEX($AA$4:$AA$7,MATCH(INDOOR_2,$Z$4:$Z$7))+INDEX($AA$4:$AA$7,MATCH(INDOOR_3,$Z$4:$Z$7))+INDEX($AA$4:$AA$7,MATCH(INDOOR_4,$Z$4:$Z$7)))))</f>
        <v>9.2824829059829046</v>
      </c>
      <c r="CD40" s="173">
        <f t="shared" ref="CD40:CD46" ca="1" si="65">(INDEX($AA$4:$AA$7,MATCH(INDOOR_4,$Z$4:$Z$7))*(INDEX($X$118:$X$137,MATCH($AD40,$W$118:$W$137,1))/(INDEX($AA$4:$AA$7,MATCH(INDOOR_1,$Z$4:$Z$7))+INDEX($AA$4:$AA$7,MATCH(INDOOR_2,$Z$4:$Z$7))+INDEX($AA$4:$AA$7,MATCH(INDOOR_3,$Z$4:$Z$7))+INDEX($AA$4:$AA$7,MATCH(INDOOR_4,$Z$4:$Z$7)))))</f>
        <v>9.2824829059829046</v>
      </c>
      <c r="CE40" s="180"/>
      <c r="CF40" s="166">
        <f t="shared" ca="1" si="36"/>
        <v>31.076329985875613</v>
      </c>
      <c r="CG40" s="167">
        <f t="shared" ca="1" si="37"/>
        <v>7.7690824964689034</v>
      </c>
      <c r="CH40" s="167">
        <f t="shared" ca="1" si="38"/>
        <v>7.7690824964689034</v>
      </c>
      <c r="CI40" s="167">
        <f t="shared" ca="1" si="52"/>
        <v>7.7690824964689034</v>
      </c>
      <c r="CJ40" s="167">
        <f t="shared" ref="CJ40:CJ46" ca="1" si="66">AO40*(INDEX($X$67:$X$86,MATCH($AD40,$W$67:$W$86,1)))</f>
        <v>7.7690824964689034</v>
      </c>
      <c r="CK40" s="178"/>
    </row>
    <row r="41" spans="2:89">
      <c r="B41" s="196">
        <v>36</v>
      </c>
      <c r="C41" s="197">
        <v>80.599999999999994</v>
      </c>
      <c r="D41" s="197">
        <v>66.2</v>
      </c>
      <c r="E41" s="198" t="s">
        <v>15</v>
      </c>
      <c r="F41" s="199">
        <v>42.58</v>
      </c>
      <c r="G41" s="200">
        <v>43.64</v>
      </c>
      <c r="H41" s="200">
        <v>43.31</v>
      </c>
      <c r="I41" s="200">
        <v>44.15</v>
      </c>
      <c r="J41" s="200">
        <v>44.54</v>
      </c>
      <c r="K41" s="200">
        <v>45.02</v>
      </c>
      <c r="L41" s="201">
        <v>45.94</v>
      </c>
      <c r="M41" s="201">
        <v>43.73</v>
      </c>
      <c r="N41" s="201">
        <v>41.49</v>
      </c>
      <c r="O41" s="201">
        <v>34.44</v>
      </c>
      <c r="P41" s="201">
        <v>31.93</v>
      </c>
      <c r="Q41" s="202">
        <v>27.16</v>
      </c>
      <c r="R41" s="203">
        <f t="shared" ca="1" si="39"/>
        <v>41.489999999999995</v>
      </c>
      <c r="S41" s="152"/>
      <c r="T41" s="152"/>
      <c r="U41" s="146" t="s">
        <v>97</v>
      </c>
      <c r="V41" s="147">
        <f ca="1">TREND(R39:R42,C39:C42,INDOOR_DB)</f>
        <v>39.914873737373732</v>
      </c>
      <c r="W41" s="145"/>
      <c r="X41" s="152"/>
      <c r="Y41" s="152"/>
      <c r="AC41" s="164" t="s">
        <v>161</v>
      </c>
      <c r="AD41" s="164">
        <v>30</v>
      </c>
      <c r="AE41" s="165">
        <v>9</v>
      </c>
      <c r="AF41" s="165">
        <v>9</v>
      </c>
      <c r="AG41" s="165">
        <v>9</v>
      </c>
      <c r="AH41" s="165">
        <v>12</v>
      </c>
      <c r="AI41" s="164"/>
      <c r="AJ41" s="510"/>
      <c r="AK41" s="166">
        <f t="shared" ca="1" si="21"/>
        <v>38.845555555555563</v>
      </c>
      <c r="AL41" s="167">
        <f t="shared" ca="1" si="53"/>
        <v>8.9643589743589764</v>
      </c>
      <c r="AM41" s="167">
        <f t="shared" ca="1" si="54"/>
        <v>8.9643589743589764</v>
      </c>
      <c r="AN41" s="167">
        <f t="shared" ca="1" si="55"/>
        <v>8.9643589743589764</v>
      </c>
      <c r="AO41" s="167">
        <f t="shared" ca="1" si="56"/>
        <v>11.952478632478634</v>
      </c>
      <c r="AP41" s="178"/>
      <c r="AQ41" s="169">
        <f t="shared" ca="1" si="24"/>
        <v>44.468222222222224</v>
      </c>
      <c r="AR41" s="170">
        <f ca="1">INDEX('Cap based on indoor unit SZ'!$J$6:$J$21,MATCH(AE41,'Cap based on indoor unit SZ'!$I$6:$I$21))</f>
        <v>10.463111111111111</v>
      </c>
      <c r="AS41" s="170">
        <f ca="1">INDEX('Cap based on indoor unit SZ'!$J$6:$J$21,MATCH(AF41,'Cap based on indoor unit SZ'!$I$6:$I$21))</f>
        <v>10.463111111111111</v>
      </c>
      <c r="AT41" s="170">
        <f ca="1">INDEX('Cap based on indoor unit SZ'!$J$6:$J$21,MATCH(AG41,'Cap based on indoor unit SZ'!$I$6:$I$21))</f>
        <v>10.463111111111111</v>
      </c>
      <c r="AU41" s="170">
        <f ca="1">INDEX('Cap based on indoor unit SZ'!$J$6:$J$21,MATCH(AH41,'Cap based on indoor unit SZ'!$I$6:$I$21))</f>
        <v>13.078888888888891</v>
      </c>
      <c r="AV41" s="179"/>
      <c r="AW41" s="169">
        <f t="shared" si="25"/>
        <v>36.5</v>
      </c>
      <c r="AX41" s="170">
        <v>8.5</v>
      </c>
      <c r="AY41" s="170">
        <v>8.5</v>
      </c>
      <c r="AZ41" s="170">
        <v>8.5</v>
      </c>
      <c r="BA41" s="170">
        <v>11</v>
      </c>
      <c r="BB41" s="179"/>
      <c r="BC41" s="172">
        <f t="shared" ca="1" si="26"/>
        <v>38.845555555555563</v>
      </c>
      <c r="BD41" s="173">
        <f t="shared" ca="1" si="57"/>
        <v>8.9643589743589764</v>
      </c>
      <c r="BE41" s="173">
        <f t="shared" ca="1" si="57"/>
        <v>8.9643589743589764</v>
      </c>
      <c r="BF41" s="173">
        <f t="shared" ca="1" si="57"/>
        <v>8.9643589743589764</v>
      </c>
      <c r="BG41" s="173">
        <f t="shared" ca="1" si="57"/>
        <v>11.952478632478634</v>
      </c>
      <c r="BH41" s="180"/>
      <c r="BI41" s="166">
        <f t="shared" ca="1" si="29"/>
        <v>37.129931623931618</v>
      </c>
      <c r="BJ41" s="167">
        <f t="shared" ca="1" si="58"/>
        <v>8.568445759368835</v>
      </c>
      <c r="BK41" s="167">
        <f t="shared" ca="1" si="59"/>
        <v>8.568445759368835</v>
      </c>
      <c r="BL41" s="167">
        <f t="shared" ca="1" si="60"/>
        <v>8.568445759368835</v>
      </c>
      <c r="BM41" s="167">
        <f t="shared" ca="1" si="61"/>
        <v>11.424594345825113</v>
      </c>
      <c r="BN41" s="178"/>
      <c r="BO41" s="169">
        <f t="shared" ca="1" si="32"/>
        <v>50.813087179487169</v>
      </c>
      <c r="BP41" s="170">
        <f ca="1">INDEX('Cap based on indoor unit SZ'!$V$43:$V$58,MATCH(AE41,'Cap based on indoor unit SZ'!$U$43:$U$58))</f>
        <v>11.956020512820512</v>
      </c>
      <c r="BQ41" s="170">
        <f ca="1">INDEX('Cap based on indoor unit SZ'!$V$43:$V$58,MATCH(AF41,'Cap based on indoor unit SZ'!$U$43:$U$58))</f>
        <v>11.956020512820512</v>
      </c>
      <c r="BR41" s="170">
        <f ca="1">INDEX('Cap based on indoor unit SZ'!$V$43:$V$58,MATCH(AG41,'Cap based on indoor unit SZ'!$U$43:$U$58))</f>
        <v>11.956020512820512</v>
      </c>
      <c r="BS41" s="170">
        <f ca="1">INDEX('Cap based on indoor unit SZ'!$V$43:$V$58,MATCH(AH41,'Cap based on indoor unit SZ'!$U$43:$U$58))</f>
        <v>14.945025641025641</v>
      </c>
      <c r="BT41" s="179"/>
      <c r="BU41" s="175">
        <v>9000</v>
      </c>
      <c r="BV41" s="175">
        <v>9000</v>
      </c>
      <c r="BW41" s="175">
        <v>9000</v>
      </c>
      <c r="BX41" s="175">
        <v>12000</v>
      </c>
      <c r="BY41" s="179"/>
      <c r="BZ41" s="172">
        <f t="shared" ca="1" si="33"/>
        <v>37.129931623931618</v>
      </c>
      <c r="CA41" s="173">
        <f t="shared" ca="1" si="62"/>
        <v>8.568445759368835</v>
      </c>
      <c r="CB41" s="173">
        <f t="shared" ca="1" si="63"/>
        <v>8.568445759368835</v>
      </c>
      <c r="CC41" s="173">
        <f t="shared" ca="1" si="64"/>
        <v>8.568445759368835</v>
      </c>
      <c r="CD41" s="173">
        <f t="shared" ca="1" si="65"/>
        <v>11.424594345825113</v>
      </c>
      <c r="CE41" s="180"/>
      <c r="CF41" s="166">
        <f t="shared" ca="1" si="36"/>
        <v>31.07632998587561</v>
      </c>
      <c r="CG41" s="167">
        <f t="shared" ca="1" si="37"/>
        <v>7.171460765971295</v>
      </c>
      <c r="CH41" s="167">
        <f t="shared" ca="1" si="38"/>
        <v>7.171460765971295</v>
      </c>
      <c r="CI41" s="167">
        <f t="shared" ca="1" si="52"/>
        <v>7.171460765971295</v>
      </c>
      <c r="CJ41" s="167">
        <f t="shared" ca="1" si="66"/>
        <v>9.5619476879617267</v>
      </c>
      <c r="CK41" s="178"/>
    </row>
    <row r="42" spans="2:89" ht="14.4" thickBot="1">
      <c r="B42" s="204">
        <v>36</v>
      </c>
      <c r="C42" s="205">
        <v>89.6</v>
      </c>
      <c r="D42" s="205">
        <v>73.400000000000006</v>
      </c>
      <c r="E42" s="206" t="s">
        <v>15</v>
      </c>
      <c r="F42" s="207">
        <v>45.98</v>
      </c>
      <c r="G42" s="208">
        <v>47.13</v>
      </c>
      <c r="H42" s="208">
        <v>46.78</v>
      </c>
      <c r="I42" s="208">
        <v>47.68</v>
      </c>
      <c r="J42" s="208">
        <v>48.1</v>
      </c>
      <c r="K42" s="208">
        <v>48.63</v>
      </c>
      <c r="L42" s="209">
        <v>49.61</v>
      </c>
      <c r="M42" s="209">
        <v>47.23</v>
      </c>
      <c r="N42" s="209">
        <v>44.8</v>
      </c>
      <c r="O42" s="209">
        <v>37.200000000000003</v>
      </c>
      <c r="P42" s="209">
        <v>34.479999999999997</v>
      </c>
      <c r="Q42" s="210">
        <v>29.34</v>
      </c>
      <c r="R42" s="211">
        <f t="shared" ca="1" si="39"/>
        <v>44.8</v>
      </c>
      <c r="S42" s="152"/>
      <c r="T42" s="152"/>
      <c r="U42" s="146"/>
      <c r="V42" s="152"/>
      <c r="W42" s="152"/>
      <c r="X42" s="152"/>
      <c r="Y42" s="152"/>
      <c r="AC42" s="164" t="s">
        <v>160</v>
      </c>
      <c r="AD42" s="164">
        <v>30</v>
      </c>
      <c r="AE42" s="165">
        <v>9</v>
      </c>
      <c r="AF42" s="165">
        <v>9</v>
      </c>
      <c r="AG42" s="165">
        <v>9</v>
      </c>
      <c r="AH42" s="165">
        <v>18</v>
      </c>
      <c r="AI42" s="164"/>
      <c r="AJ42" s="510"/>
      <c r="AK42" s="166">
        <f t="shared" ca="1" si="21"/>
        <v>38.845555555555563</v>
      </c>
      <c r="AL42" s="167">
        <f t="shared" ca="1" si="53"/>
        <v>7.7691111111111129</v>
      </c>
      <c r="AM42" s="167">
        <f t="shared" ca="1" si="54"/>
        <v>7.7691111111111129</v>
      </c>
      <c r="AN42" s="167">
        <f t="shared" ca="1" si="55"/>
        <v>7.7691111111111129</v>
      </c>
      <c r="AO42" s="167">
        <f t="shared" ca="1" si="56"/>
        <v>15.538222222222226</v>
      </c>
      <c r="AP42" s="178"/>
      <c r="AQ42" s="169">
        <f t="shared" ca="1" si="24"/>
        <v>51.210444444444448</v>
      </c>
      <c r="AR42" s="170">
        <f ca="1">INDEX('Cap based on indoor unit SZ'!$J$6:$J$21,MATCH(AE42,'Cap based on indoor unit SZ'!$I$6:$I$21))</f>
        <v>10.463111111111111</v>
      </c>
      <c r="AS42" s="170">
        <f ca="1">INDEX('Cap based on indoor unit SZ'!$J$6:$J$21,MATCH(AF42,'Cap based on indoor unit SZ'!$I$6:$I$21))</f>
        <v>10.463111111111111</v>
      </c>
      <c r="AT42" s="170">
        <f ca="1">INDEX('Cap based on indoor unit SZ'!$J$6:$J$21,MATCH(AG42,'Cap based on indoor unit SZ'!$I$6:$I$21))</f>
        <v>10.463111111111111</v>
      </c>
      <c r="AU42" s="170">
        <f ca="1">INDEX('Cap based on indoor unit SZ'!$J$6:$J$21,MATCH(AH42,'Cap based on indoor unit SZ'!$I$6:$I$21))</f>
        <v>19.821111111111112</v>
      </c>
      <c r="AV42" s="179"/>
      <c r="AW42" s="169">
        <f t="shared" si="25"/>
        <v>37</v>
      </c>
      <c r="AX42" s="170">
        <v>8</v>
      </c>
      <c r="AY42" s="170">
        <v>8</v>
      </c>
      <c r="AZ42" s="170">
        <v>8</v>
      </c>
      <c r="BA42" s="170">
        <v>13</v>
      </c>
      <c r="BB42" s="179"/>
      <c r="BC42" s="172">
        <f t="shared" ca="1" si="26"/>
        <v>38.845555555555563</v>
      </c>
      <c r="BD42" s="173">
        <f t="shared" ca="1" si="57"/>
        <v>7.7691111111111129</v>
      </c>
      <c r="BE42" s="173">
        <f t="shared" ca="1" si="57"/>
        <v>7.7691111111111129</v>
      </c>
      <c r="BF42" s="173">
        <f t="shared" ca="1" si="57"/>
        <v>7.7691111111111129</v>
      </c>
      <c r="BG42" s="173">
        <f t="shared" ca="1" si="57"/>
        <v>15.538222222222226</v>
      </c>
      <c r="BH42" s="180"/>
      <c r="BI42" s="166">
        <f t="shared" ca="1" si="29"/>
        <v>37.129931623931625</v>
      </c>
      <c r="BJ42" s="167">
        <f t="shared" ca="1" si="58"/>
        <v>7.425986324786324</v>
      </c>
      <c r="BK42" s="167">
        <f t="shared" ca="1" si="59"/>
        <v>7.425986324786324</v>
      </c>
      <c r="BL42" s="167">
        <f t="shared" ca="1" si="60"/>
        <v>7.425986324786324</v>
      </c>
      <c r="BM42" s="167">
        <f t="shared" ca="1" si="61"/>
        <v>14.851972649572648</v>
      </c>
      <c r="BN42" s="178"/>
      <c r="BO42" s="169">
        <f t="shared" ca="1" si="32"/>
        <v>60.466882051282042</v>
      </c>
      <c r="BP42" s="170">
        <f ca="1">INDEX('Cap based on indoor unit SZ'!$V$43:$V$58,MATCH(AE42,'Cap based on indoor unit SZ'!$U$43:$U$58))</f>
        <v>11.956020512820512</v>
      </c>
      <c r="BQ42" s="170">
        <f ca="1">INDEX('Cap based on indoor unit SZ'!$V$43:$V$58,MATCH(AF42,'Cap based on indoor unit SZ'!$U$43:$U$58))</f>
        <v>11.956020512820512</v>
      </c>
      <c r="BR42" s="170">
        <f ca="1">INDEX('Cap based on indoor unit SZ'!$V$43:$V$58,MATCH(AG42,'Cap based on indoor unit SZ'!$U$43:$U$58))</f>
        <v>11.956020512820512</v>
      </c>
      <c r="BS42" s="170">
        <f ca="1">INDEX('Cap based on indoor unit SZ'!$V$43:$V$58,MATCH(AH42,'Cap based on indoor unit SZ'!$U$43:$U$58))</f>
        <v>24.598820512820513</v>
      </c>
      <c r="BT42" s="179"/>
      <c r="BU42" s="175">
        <v>8500</v>
      </c>
      <c r="BV42" s="175">
        <v>8500</v>
      </c>
      <c r="BW42" s="175">
        <v>8500</v>
      </c>
      <c r="BX42" s="175">
        <v>14000</v>
      </c>
      <c r="BY42" s="179"/>
      <c r="BZ42" s="172">
        <f t="shared" ca="1" si="33"/>
        <v>37.129931623931625</v>
      </c>
      <c r="CA42" s="173">
        <f t="shared" ca="1" si="62"/>
        <v>7.425986324786324</v>
      </c>
      <c r="CB42" s="173">
        <f t="shared" ca="1" si="63"/>
        <v>7.425986324786324</v>
      </c>
      <c r="CC42" s="173">
        <f t="shared" ca="1" si="64"/>
        <v>7.425986324786324</v>
      </c>
      <c r="CD42" s="173">
        <f t="shared" ca="1" si="65"/>
        <v>14.851972649572648</v>
      </c>
      <c r="CE42" s="180"/>
      <c r="CF42" s="166">
        <f t="shared" ca="1" si="36"/>
        <v>31.07632998587561</v>
      </c>
      <c r="CG42" s="167">
        <f t="shared" ca="1" si="37"/>
        <v>6.2152659971751225</v>
      </c>
      <c r="CH42" s="167">
        <f t="shared" ca="1" si="38"/>
        <v>6.2152659971751225</v>
      </c>
      <c r="CI42" s="167">
        <f t="shared" ca="1" si="52"/>
        <v>6.2152659971751225</v>
      </c>
      <c r="CJ42" s="167">
        <f t="shared" ca="1" si="66"/>
        <v>12.430531994350245</v>
      </c>
      <c r="CK42" s="178"/>
    </row>
    <row r="43" spans="2:89">
      <c r="B43" s="188">
        <v>48</v>
      </c>
      <c r="C43" s="189">
        <v>69.8</v>
      </c>
      <c r="D43" s="189">
        <v>59</v>
      </c>
      <c r="E43" s="190" t="s">
        <v>15</v>
      </c>
      <c r="F43" s="191">
        <v>41.22</v>
      </c>
      <c r="G43" s="192">
        <v>42.25</v>
      </c>
      <c r="H43" s="192">
        <v>42.51</v>
      </c>
      <c r="I43" s="192">
        <v>41.87</v>
      </c>
      <c r="J43" s="192">
        <v>41.24</v>
      </c>
      <c r="K43" s="192">
        <v>41.97</v>
      </c>
      <c r="L43" s="193">
        <v>41.47</v>
      </c>
      <c r="M43" s="193">
        <v>39.32</v>
      </c>
      <c r="N43" s="193">
        <v>36.26</v>
      </c>
      <c r="O43" s="193">
        <v>32.97</v>
      </c>
      <c r="P43" s="193">
        <v>29.86</v>
      </c>
      <c r="Q43" s="194">
        <v>26.54</v>
      </c>
      <c r="R43" s="203">
        <f t="shared" ca="1" si="39"/>
        <v>36.26</v>
      </c>
      <c r="S43" s="152"/>
      <c r="T43" s="152"/>
      <c r="U43" s="146" t="s">
        <v>96</v>
      </c>
      <c r="V43" s="147">
        <f ca="1">FORECAST(INDOOR_DB,OFFSET(R43:R46,MATCH(INDOOR_DB,C43:C46,1)-1,0,2),OFFSET(C43:C46,MATCH(INDOOR_DB,C43:C46,1)-1,0,2))</f>
        <v>51.604444444444425</v>
      </c>
      <c r="W43" s="145">
        <f>B43</f>
        <v>48</v>
      </c>
      <c r="X43" s="147">
        <f ca="1">IF(OR(INDOOR_DB&lt;C43,INDOOR_DB&gt;C46),V45,V43)</f>
        <v>51.604444444444425</v>
      </c>
      <c r="Y43" s="152"/>
      <c r="AC43" s="164" t="s">
        <v>158</v>
      </c>
      <c r="AD43" s="164">
        <v>30</v>
      </c>
      <c r="AE43" s="165">
        <v>9</v>
      </c>
      <c r="AF43" s="165">
        <v>9</v>
      </c>
      <c r="AG43" s="165">
        <v>12</v>
      </c>
      <c r="AH43" s="165">
        <v>12</v>
      </c>
      <c r="AI43" s="164"/>
      <c r="AJ43" s="510"/>
      <c r="AK43" s="166">
        <f t="shared" ca="1" si="21"/>
        <v>38.84555555555557</v>
      </c>
      <c r="AL43" s="167">
        <f t="shared" ca="1" si="53"/>
        <v>8.3240476190476222</v>
      </c>
      <c r="AM43" s="167">
        <f t="shared" ca="1" si="54"/>
        <v>8.3240476190476222</v>
      </c>
      <c r="AN43" s="167">
        <f t="shared" ca="1" si="55"/>
        <v>11.098730158730163</v>
      </c>
      <c r="AO43" s="167">
        <f t="shared" ca="1" si="56"/>
        <v>11.098730158730163</v>
      </c>
      <c r="AP43" s="178"/>
      <c r="AQ43" s="169">
        <f t="shared" ca="1" si="24"/>
        <v>47.084000000000003</v>
      </c>
      <c r="AR43" s="170">
        <f ca="1">INDEX('Cap based on indoor unit SZ'!$J$6:$J$21,MATCH(AE43,'Cap based on indoor unit SZ'!$I$6:$I$21))</f>
        <v>10.463111111111111</v>
      </c>
      <c r="AS43" s="170">
        <f ca="1">INDEX('Cap based on indoor unit SZ'!$J$6:$J$21,MATCH(AF43,'Cap based on indoor unit SZ'!$I$6:$I$21))</f>
        <v>10.463111111111111</v>
      </c>
      <c r="AT43" s="170">
        <f ca="1">INDEX('Cap based on indoor unit SZ'!$J$6:$J$21,MATCH(AG43,'Cap based on indoor unit SZ'!$I$6:$I$21))</f>
        <v>13.078888888888891</v>
      </c>
      <c r="AU43" s="170">
        <f ca="1">INDEX('Cap based on indoor unit SZ'!$J$6:$J$21,MATCH(AH43,'Cap based on indoor unit SZ'!$I$6:$I$21))</f>
        <v>13.078888888888891</v>
      </c>
      <c r="AV43" s="179"/>
      <c r="AW43" s="169">
        <f t="shared" si="25"/>
        <v>37</v>
      </c>
      <c r="AX43" s="170">
        <v>8</v>
      </c>
      <c r="AY43" s="170">
        <v>8</v>
      </c>
      <c r="AZ43" s="170">
        <v>10.5</v>
      </c>
      <c r="BA43" s="170">
        <v>10.5</v>
      </c>
      <c r="BB43" s="179"/>
      <c r="BC43" s="172">
        <f t="shared" ca="1" si="26"/>
        <v>38.84555555555557</v>
      </c>
      <c r="BD43" s="173">
        <f t="shared" ca="1" si="57"/>
        <v>8.3240476190476222</v>
      </c>
      <c r="BE43" s="173">
        <f t="shared" ca="1" si="57"/>
        <v>8.3240476190476222</v>
      </c>
      <c r="BF43" s="173">
        <f t="shared" ca="1" si="57"/>
        <v>11.098730158730163</v>
      </c>
      <c r="BG43" s="173">
        <f t="shared" ca="1" si="57"/>
        <v>11.098730158730163</v>
      </c>
      <c r="BH43" s="180"/>
      <c r="BI43" s="166">
        <f t="shared" ca="1" si="29"/>
        <v>37.129931623931625</v>
      </c>
      <c r="BJ43" s="167">
        <f t="shared" ca="1" si="58"/>
        <v>7.9564139194139196</v>
      </c>
      <c r="BK43" s="167">
        <f t="shared" ca="1" si="59"/>
        <v>7.9564139194139196</v>
      </c>
      <c r="BL43" s="167">
        <f t="shared" ca="1" si="60"/>
        <v>10.608551892551892</v>
      </c>
      <c r="BM43" s="167">
        <f t="shared" ca="1" si="61"/>
        <v>10.608551892551892</v>
      </c>
      <c r="BN43" s="178"/>
      <c r="BO43" s="169">
        <f t="shared" ca="1" si="32"/>
        <v>53.802092307692305</v>
      </c>
      <c r="BP43" s="170">
        <f ca="1">INDEX('Cap based on indoor unit SZ'!$V$43:$V$58,MATCH(AE43,'Cap based on indoor unit SZ'!$U$43:$U$58))</f>
        <v>11.956020512820512</v>
      </c>
      <c r="BQ43" s="170">
        <f ca="1">INDEX('Cap based on indoor unit SZ'!$V$43:$V$58,MATCH(AF43,'Cap based on indoor unit SZ'!$U$43:$U$58))</f>
        <v>11.956020512820512</v>
      </c>
      <c r="BR43" s="170">
        <f ca="1">INDEX('Cap based on indoor unit SZ'!$V$43:$V$58,MATCH(AG43,'Cap based on indoor unit SZ'!$U$43:$U$58))</f>
        <v>14.945025641025641</v>
      </c>
      <c r="BS43" s="170">
        <f ca="1">INDEX('Cap based on indoor unit SZ'!$V$43:$V$58,MATCH(AH43,'Cap based on indoor unit SZ'!$U$43:$U$58))</f>
        <v>14.945025641025641</v>
      </c>
      <c r="BT43" s="179"/>
      <c r="BU43" s="175">
        <v>8500</v>
      </c>
      <c r="BV43" s="175">
        <v>8500</v>
      </c>
      <c r="BW43" s="175">
        <v>11000</v>
      </c>
      <c r="BX43" s="175">
        <v>11000</v>
      </c>
      <c r="BY43" s="179"/>
      <c r="BZ43" s="172">
        <f t="shared" ca="1" si="33"/>
        <v>37.129931623931625</v>
      </c>
      <c r="CA43" s="173">
        <f t="shared" ca="1" si="62"/>
        <v>7.9564139194139196</v>
      </c>
      <c r="CB43" s="173">
        <f t="shared" ca="1" si="63"/>
        <v>7.9564139194139196</v>
      </c>
      <c r="CC43" s="173">
        <f t="shared" ca="1" si="64"/>
        <v>10.608551892551892</v>
      </c>
      <c r="CD43" s="173">
        <f t="shared" ca="1" si="65"/>
        <v>10.608551892551892</v>
      </c>
      <c r="CE43" s="180"/>
      <c r="CF43" s="166">
        <f t="shared" ca="1" si="36"/>
        <v>31.076329985875617</v>
      </c>
      <c r="CG43" s="167">
        <f t="shared" ca="1" si="37"/>
        <v>6.6592135684019178</v>
      </c>
      <c r="CH43" s="167">
        <f t="shared" ca="1" si="38"/>
        <v>6.6592135684019178</v>
      </c>
      <c r="CI43" s="167">
        <f t="shared" ca="1" si="52"/>
        <v>8.8789514245358916</v>
      </c>
      <c r="CJ43" s="167">
        <f t="shared" ca="1" si="66"/>
        <v>8.8789514245358916</v>
      </c>
      <c r="CK43" s="178"/>
    </row>
    <row r="44" spans="2:89">
      <c r="B44" s="196">
        <v>48</v>
      </c>
      <c r="C44" s="197">
        <v>75.2</v>
      </c>
      <c r="D44" s="197">
        <v>62.6</v>
      </c>
      <c r="E44" s="198" t="s">
        <v>15</v>
      </c>
      <c r="F44" s="199">
        <v>44.52</v>
      </c>
      <c r="G44" s="200">
        <v>45.63</v>
      </c>
      <c r="H44" s="200">
        <v>45.91</v>
      </c>
      <c r="I44" s="200">
        <v>45.22</v>
      </c>
      <c r="J44" s="200">
        <v>44.54</v>
      </c>
      <c r="K44" s="200">
        <v>45.33</v>
      </c>
      <c r="L44" s="201">
        <v>44.79</v>
      </c>
      <c r="M44" s="201">
        <v>42.47</v>
      </c>
      <c r="N44" s="201">
        <v>39.159999999999997</v>
      </c>
      <c r="O44" s="201">
        <v>35.61</v>
      </c>
      <c r="P44" s="201">
        <v>32.25</v>
      </c>
      <c r="Q44" s="202">
        <v>28.66</v>
      </c>
      <c r="R44" s="203">
        <f t="shared" ca="1" si="39"/>
        <v>39.160000000000004</v>
      </c>
      <c r="S44" s="152"/>
      <c r="T44" s="152"/>
      <c r="U44" s="146"/>
      <c r="V44" s="148"/>
      <c r="W44" s="145"/>
      <c r="X44" s="152"/>
      <c r="Y44" s="152"/>
      <c r="AC44" s="164" t="s">
        <v>157</v>
      </c>
      <c r="AD44" s="164">
        <v>30</v>
      </c>
      <c r="AE44" s="165">
        <v>9</v>
      </c>
      <c r="AF44" s="165">
        <v>9</v>
      </c>
      <c r="AG44" s="165">
        <v>12</v>
      </c>
      <c r="AH44" s="165">
        <v>18</v>
      </c>
      <c r="AI44" s="164"/>
      <c r="AJ44" s="510"/>
      <c r="AK44" s="166">
        <f t="shared" ca="1" si="21"/>
        <v>38.845555555555563</v>
      </c>
      <c r="AL44" s="167">
        <f t="shared" ca="1" si="53"/>
        <v>7.2835416666666681</v>
      </c>
      <c r="AM44" s="167">
        <f t="shared" ca="1" si="54"/>
        <v>7.2835416666666681</v>
      </c>
      <c r="AN44" s="167">
        <f t="shared" ca="1" si="55"/>
        <v>9.7113888888888908</v>
      </c>
      <c r="AO44" s="167">
        <f t="shared" ca="1" si="56"/>
        <v>14.567083333333336</v>
      </c>
      <c r="AP44" s="178"/>
      <c r="AQ44" s="169">
        <f t="shared" ca="1" si="24"/>
        <v>53.826222222222228</v>
      </c>
      <c r="AR44" s="170">
        <f ca="1">INDEX('Cap based on indoor unit SZ'!$J$6:$J$21,MATCH(AE44,'Cap based on indoor unit SZ'!$I$6:$I$21))</f>
        <v>10.463111111111111</v>
      </c>
      <c r="AS44" s="170">
        <f ca="1">INDEX('Cap based on indoor unit SZ'!$J$6:$J$21,MATCH(AF44,'Cap based on indoor unit SZ'!$I$6:$I$21))</f>
        <v>10.463111111111111</v>
      </c>
      <c r="AT44" s="170">
        <f ca="1">INDEX('Cap based on indoor unit SZ'!$J$6:$J$21,MATCH(AG44,'Cap based on indoor unit SZ'!$I$6:$I$21))</f>
        <v>13.078888888888891</v>
      </c>
      <c r="AU44" s="170">
        <f ca="1">INDEX('Cap based on indoor unit SZ'!$J$6:$J$21,MATCH(AH44,'Cap based on indoor unit SZ'!$I$6:$I$21))</f>
        <v>19.821111111111112</v>
      </c>
      <c r="AV44" s="179"/>
      <c r="AW44" s="169">
        <f t="shared" si="25"/>
        <v>38</v>
      </c>
      <c r="AX44" s="170">
        <v>7.5</v>
      </c>
      <c r="AY44" s="170">
        <v>7.5</v>
      </c>
      <c r="AZ44" s="170">
        <v>9</v>
      </c>
      <c r="BA44" s="170">
        <v>14</v>
      </c>
      <c r="BB44" s="179"/>
      <c r="BC44" s="172">
        <f t="shared" ca="1" si="26"/>
        <v>38.845555555555563</v>
      </c>
      <c r="BD44" s="173">
        <f t="shared" ca="1" si="57"/>
        <v>7.2835416666666681</v>
      </c>
      <c r="BE44" s="173">
        <f t="shared" ca="1" si="57"/>
        <v>7.2835416666666681</v>
      </c>
      <c r="BF44" s="173">
        <f t="shared" ca="1" si="57"/>
        <v>9.7113888888888908</v>
      </c>
      <c r="BG44" s="173">
        <f t="shared" ca="1" si="57"/>
        <v>14.567083333333336</v>
      </c>
      <c r="BH44" s="180"/>
      <c r="BI44" s="166">
        <f t="shared" ca="1" si="29"/>
        <v>37.129931623931625</v>
      </c>
      <c r="BJ44" s="167">
        <f t="shared" ca="1" si="58"/>
        <v>6.9618621794871789</v>
      </c>
      <c r="BK44" s="167">
        <f t="shared" ca="1" si="59"/>
        <v>6.9618621794871789</v>
      </c>
      <c r="BL44" s="167">
        <f t="shared" ca="1" si="60"/>
        <v>9.2824829059829046</v>
      </c>
      <c r="BM44" s="167">
        <f t="shared" ca="1" si="61"/>
        <v>13.923724358974358</v>
      </c>
      <c r="BN44" s="178"/>
      <c r="BO44" s="169">
        <f t="shared" ca="1" si="32"/>
        <v>63.455887179487178</v>
      </c>
      <c r="BP44" s="170">
        <f ca="1">INDEX('Cap based on indoor unit SZ'!$V$43:$V$58,MATCH(AE44,'Cap based on indoor unit SZ'!$U$43:$U$58))</f>
        <v>11.956020512820512</v>
      </c>
      <c r="BQ44" s="170">
        <f ca="1">INDEX('Cap based on indoor unit SZ'!$V$43:$V$58,MATCH(AF44,'Cap based on indoor unit SZ'!$U$43:$U$58))</f>
        <v>11.956020512820512</v>
      </c>
      <c r="BR44" s="170">
        <f ca="1">INDEX('Cap based on indoor unit SZ'!$V$43:$V$58,MATCH(AG44,'Cap based on indoor unit SZ'!$U$43:$U$58))</f>
        <v>14.945025641025641</v>
      </c>
      <c r="BS44" s="170">
        <f ca="1">INDEX('Cap based on indoor unit SZ'!$V$43:$V$58,MATCH(AH44,'Cap based on indoor unit SZ'!$U$43:$U$58))</f>
        <v>24.598820512820513</v>
      </c>
      <c r="BT44" s="179"/>
      <c r="BU44" s="175">
        <v>8000</v>
      </c>
      <c r="BV44" s="175">
        <v>8000</v>
      </c>
      <c r="BW44" s="175">
        <v>9500</v>
      </c>
      <c r="BX44" s="175">
        <v>14500</v>
      </c>
      <c r="BY44" s="179"/>
      <c r="BZ44" s="172">
        <f t="shared" ca="1" si="33"/>
        <v>37.129931623931625</v>
      </c>
      <c r="CA44" s="173">
        <f t="shared" ca="1" si="62"/>
        <v>6.9618621794871789</v>
      </c>
      <c r="CB44" s="173">
        <f t="shared" ca="1" si="63"/>
        <v>6.9618621794871789</v>
      </c>
      <c r="CC44" s="173">
        <f t="shared" ca="1" si="64"/>
        <v>9.2824829059829046</v>
      </c>
      <c r="CD44" s="173">
        <f t="shared" ca="1" si="65"/>
        <v>13.923724358974358</v>
      </c>
      <c r="CE44" s="180"/>
      <c r="CF44" s="166">
        <f t="shared" ca="1" si="36"/>
        <v>31.07632998587561</v>
      </c>
      <c r="CG44" s="167">
        <f t="shared" ca="1" si="37"/>
        <v>5.8268118723516773</v>
      </c>
      <c r="CH44" s="167">
        <f t="shared" ca="1" si="38"/>
        <v>5.8268118723516773</v>
      </c>
      <c r="CI44" s="167">
        <f t="shared" ca="1" si="52"/>
        <v>7.7690824964689034</v>
      </c>
      <c r="CJ44" s="167">
        <f t="shared" ca="1" si="66"/>
        <v>11.653623744703355</v>
      </c>
      <c r="CK44" s="178"/>
    </row>
    <row r="45" spans="2:89">
      <c r="B45" s="196">
        <v>48</v>
      </c>
      <c r="C45" s="197">
        <v>80.599999999999994</v>
      </c>
      <c r="D45" s="197">
        <v>66.2</v>
      </c>
      <c r="E45" s="198" t="s">
        <v>15</v>
      </c>
      <c r="F45" s="199">
        <v>53.8</v>
      </c>
      <c r="G45" s="200">
        <v>55.14</v>
      </c>
      <c r="H45" s="200">
        <v>54.68</v>
      </c>
      <c r="I45" s="200">
        <v>55.31</v>
      </c>
      <c r="J45" s="200">
        <v>56.15</v>
      </c>
      <c r="K45" s="200">
        <v>56.72</v>
      </c>
      <c r="L45" s="201">
        <v>60.26</v>
      </c>
      <c r="M45" s="201">
        <v>56.82</v>
      </c>
      <c r="N45" s="201">
        <v>53.16</v>
      </c>
      <c r="O45" s="201">
        <v>40.950000000000003</v>
      </c>
      <c r="P45" s="201">
        <v>38.57</v>
      </c>
      <c r="Q45" s="202">
        <v>35.24</v>
      </c>
      <c r="R45" s="203">
        <f t="shared" ca="1" si="39"/>
        <v>53.16</v>
      </c>
      <c r="S45" s="152"/>
      <c r="T45" s="152"/>
      <c r="U45" s="146" t="s">
        <v>97</v>
      </c>
      <c r="V45" s="147">
        <f ca="1">TREND(R43:R46,C43:C46,INDOOR_DB)</f>
        <v>47.397575757575751</v>
      </c>
      <c r="W45" s="145"/>
      <c r="X45" s="152"/>
      <c r="Y45" s="152"/>
      <c r="AC45" s="164" t="s">
        <v>153</v>
      </c>
      <c r="AD45" s="164">
        <v>30</v>
      </c>
      <c r="AE45" s="165">
        <v>9</v>
      </c>
      <c r="AF45" s="165">
        <v>12</v>
      </c>
      <c r="AG45" s="165">
        <v>12</v>
      </c>
      <c r="AH45" s="165">
        <v>12</v>
      </c>
      <c r="AI45" s="164"/>
      <c r="AJ45" s="511"/>
      <c r="AK45" s="166">
        <f t="shared" ca="1" si="21"/>
        <v>38.845555555555563</v>
      </c>
      <c r="AL45" s="167">
        <f t="shared" ca="1" si="53"/>
        <v>7.7691111111111137</v>
      </c>
      <c r="AM45" s="167">
        <f t="shared" ca="1" si="54"/>
        <v>10.358814814814817</v>
      </c>
      <c r="AN45" s="167">
        <f t="shared" ca="1" si="55"/>
        <v>10.358814814814817</v>
      </c>
      <c r="AO45" s="167">
        <f t="shared" ca="1" si="56"/>
        <v>10.358814814814817</v>
      </c>
      <c r="AP45" s="178"/>
      <c r="AQ45" s="169">
        <f t="shared" ca="1" si="24"/>
        <v>49.699777777777783</v>
      </c>
      <c r="AR45" s="170">
        <f ca="1">INDEX('Cap based on indoor unit SZ'!$J$6:$J$21,MATCH(AE45,'Cap based on indoor unit SZ'!$I$6:$I$21))</f>
        <v>10.463111111111111</v>
      </c>
      <c r="AS45" s="170">
        <f ca="1">INDEX('Cap based on indoor unit SZ'!$J$6:$J$21,MATCH(AF45,'Cap based on indoor unit SZ'!$I$6:$I$21))</f>
        <v>13.078888888888891</v>
      </c>
      <c r="AT45" s="170">
        <f ca="1">INDEX('Cap based on indoor unit SZ'!$J$6:$J$21,MATCH(AG45,'Cap based on indoor unit SZ'!$I$6:$I$21))</f>
        <v>13.078888888888891</v>
      </c>
      <c r="AU45" s="170">
        <f ca="1">INDEX('Cap based on indoor unit SZ'!$J$6:$J$21,MATCH(AH45,'Cap based on indoor unit SZ'!$I$6:$I$21))</f>
        <v>13.078888888888891</v>
      </c>
      <c r="AV45" s="179"/>
      <c r="AW45" s="169">
        <f t="shared" si="25"/>
        <v>37</v>
      </c>
      <c r="AX45" s="170">
        <v>7</v>
      </c>
      <c r="AY45" s="170">
        <v>10</v>
      </c>
      <c r="AZ45" s="170">
        <v>10</v>
      </c>
      <c r="BA45" s="170">
        <v>10</v>
      </c>
      <c r="BB45" s="179"/>
      <c r="BC45" s="172">
        <f t="shared" ca="1" si="26"/>
        <v>38.845555555555563</v>
      </c>
      <c r="BD45" s="173">
        <f t="shared" ca="1" si="57"/>
        <v>7.7691111111111137</v>
      </c>
      <c r="BE45" s="173">
        <f t="shared" ca="1" si="57"/>
        <v>10.358814814814817</v>
      </c>
      <c r="BF45" s="173">
        <f t="shared" ca="1" si="57"/>
        <v>10.358814814814817</v>
      </c>
      <c r="BG45" s="173">
        <f t="shared" ca="1" si="57"/>
        <v>10.358814814814817</v>
      </c>
      <c r="BH45" s="180"/>
      <c r="BI45" s="166">
        <f t="shared" ca="1" si="29"/>
        <v>37.129931623931625</v>
      </c>
      <c r="BJ45" s="167">
        <f t="shared" ca="1" si="58"/>
        <v>7.4259863247863249</v>
      </c>
      <c r="BK45" s="167">
        <f t="shared" ca="1" si="59"/>
        <v>9.9013150997150987</v>
      </c>
      <c r="BL45" s="167">
        <f t="shared" ca="1" si="60"/>
        <v>9.9013150997150987</v>
      </c>
      <c r="BM45" s="167">
        <f t="shared" ca="1" si="61"/>
        <v>9.9013150997150987</v>
      </c>
      <c r="BN45" s="178"/>
      <c r="BO45" s="169">
        <f t="shared" ca="1" si="32"/>
        <v>56.791097435897427</v>
      </c>
      <c r="BP45" s="170">
        <f ca="1">INDEX('Cap based on indoor unit SZ'!$V$43:$V$58,MATCH(AE45,'Cap based on indoor unit SZ'!$U$43:$U$58))</f>
        <v>11.956020512820512</v>
      </c>
      <c r="BQ45" s="170">
        <f ca="1">INDEX('Cap based on indoor unit SZ'!$V$43:$V$58,MATCH(AF45,'Cap based on indoor unit SZ'!$U$43:$U$58))</f>
        <v>14.945025641025641</v>
      </c>
      <c r="BR45" s="170">
        <f ca="1">INDEX('Cap based on indoor unit SZ'!$V$43:$V$58,MATCH(AG45,'Cap based on indoor unit SZ'!$U$43:$U$58))</f>
        <v>14.945025641025641</v>
      </c>
      <c r="BS45" s="170">
        <f ca="1">INDEX('Cap based on indoor unit SZ'!$V$43:$V$58,MATCH(AH45,'Cap based on indoor unit SZ'!$U$43:$U$58))</f>
        <v>14.945025641025641</v>
      </c>
      <c r="BT45" s="179"/>
      <c r="BU45" s="175">
        <v>8000</v>
      </c>
      <c r="BV45" s="175">
        <v>10500</v>
      </c>
      <c r="BW45" s="175">
        <v>10500</v>
      </c>
      <c r="BX45" s="175">
        <v>10500</v>
      </c>
      <c r="BY45" s="179"/>
      <c r="BZ45" s="172">
        <f t="shared" ca="1" si="33"/>
        <v>37.129931623931625</v>
      </c>
      <c r="CA45" s="173">
        <f t="shared" ca="1" si="62"/>
        <v>7.4259863247863249</v>
      </c>
      <c r="CB45" s="173">
        <f t="shared" ca="1" si="63"/>
        <v>9.9013150997150987</v>
      </c>
      <c r="CC45" s="173">
        <f t="shared" ca="1" si="64"/>
        <v>9.9013150997150987</v>
      </c>
      <c r="CD45" s="173">
        <f t="shared" ca="1" si="65"/>
        <v>9.9013150997150987</v>
      </c>
      <c r="CE45" s="180"/>
      <c r="CF45" s="166">
        <f t="shared" ca="1" si="36"/>
        <v>31.076329985875613</v>
      </c>
      <c r="CG45" s="167">
        <f t="shared" ca="1" si="37"/>
        <v>6.2152659971751234</v>
      </c>
      <c r="CH45" s="167">
        <f t="shared" ca="1" si="38"/>
        <v>8.28702132956683</v>
      </c>
      <c r="CI45" s="167">
        <f t="shared" ca="1" si="52"/>
        <v>8.28702132956683</v>
      </c>
      <c r="CJ45" s="167">
        <f t="shared" ca="1" si="66"/>
        <v>8.28702132956683</v>
      </c>
      <c r="CK45" s="178"/>
    </row>
    <row r="46" spans="2:89" ht="14.4" thickBot="1">
      <c r="B46" s="204">
        <v>48</v>
      </c>
      <c r="C46" s="205">
        <v>89.6</v>
      </c>
      <c r="D46" s="205">
        <v>73.400000000000006</v>
      </c>
      <c r="E46" s="206" t="s">
        <v>15</v>
      </c>
      <c r="F46" s="207">
        <v>56.49</v>
      </c>
      <c r="G46" s="208">
        <v>57.9</v>
      </c>
      <c r="H46" s="208">
        <v>57.41</v>
      </c>
      <c r="I46" s="208">
        <v>58.08</v>
      </c>
      <c r="J46" s="208">
        <v>58.96</v>
      </c>
      <c r="K46" s="208">
        <v>59.56</v>
      </c>
      <c r="L46" s="209">
        <v>63.27</v>
      </c>
      <c r="M46" s="209">
        <v>59.66</v>
      </c>
      <c r="N46" s="209">
        <v>55.82</v>
      </c>
      <c r="O46" s="209">
        <v>43</v>
      </c>
      <c r="P46" s="209">
        <v>40.5</v>
      </c>
      <c r="Q46" s="210">
        <v>37.04</v>
      </c>
      <c r="R46" s="211">
        <f t="shared" ca="1" si="39"/>
        <v>55.819999999999993</v>
      </c>
      <c r="S46" s="152"/>
      <c r="T46" s="152"/>
      <c r="U46" s="146"/>
      <c r="V46" s="152"/>
      <c r="W46" s="152"/>
      <c r="X46" s="152"/>
      <c r="Y46" s="152"/>
      <c r="AC46" s="164" t="s">
        <v>148</v>
      </c>
      <c r="AD46" s="164">
        <v>30</v>
      </c>
      <c r="AE46" s="165">
        <v>12</v>
      </c>
      <c r="AF46" s="165">
        <v>12</v>
      </c>
      <c r="AG46" s="165">
        <v>12</v>
      </c>
      <c r="AH46" s="165">
        <v>12</v>
      </c>
      <c r="AI46" s="164"/>
      <c r="AJ46" s="511"/>
      <c r="AK46" s="166">
        <f t="shared" ca="1" si="21"/>
        <v>38.845555555555563</v>
      </c>
      <c r="AL46" s="167">
        <f t="shared" ca="1" si="53"/>
        <v>9.7113888888888908</v>
      </c>
      <c r="AM46" s="167">
        <f t="shared" ca="1" si="54"/>
        <v>9.7113888888888908</v>
      </c>
      <c r="AN46" s="167">
        <f t="shared" ca="1" si="55"/>
        <v>9.7113888888888908</v>
      </c>
      <c r="AO46" s="167">
        <f t="shared" ca="1" si="56"/>
        <v>9.7113888888888908</v>
      </c>
      <c r="AP46" s="178"/>
      <c r="AQ46" s="169">
        <f t="shared" ca="1" si="24"/>
        <v>52.315555555555562</v>
      </c>
      <c r="AR46" s="170">
        <f ca="1">INDEX('Cap based on indoor unit SZ'!$J$6:$J$21,MATCH(AE46,'Cap based on indoor unit SZ'!$I$6:$I$21))</f>
        <v>13.078888888888891</v>
      </c>
      <c r="AS46" s="170">
        <f ca="1">INDEX('Cap based on indoor unit SZ'!$J$6:$J$21,MATCH(AF46,'Cap based on indoor unit SZ'!$I$6:$I$21))</f>
        <v>13.078888888888891</v>
      </c>
      <c r="AT46" s="170">
        <f ca="1">INDEX('Cap based on indoor unit SZ'!$J$6:$J$21,MATCH(AG46,'Cap based on indoor unit SZ'!$I$6:$I$21))</f>
        <v>13.078888888888891</v>
      </c>
      <c r="AU46" s="170">
        <f ca="1">INDEX('Cap based on indoor unit SZ'!$J$6:$J$21,MATCH(AH46,'Cap based on indoor unit SZ'!$I$6:$I$21))</f>
        <v>13.078888888888891</v>
      </c>
      <c r="AV46" s="179"/>
      <c r="AW46" s="169">
        <f t="shared" si="25"/>
        <v>38</v>
      </c>
      <c r="AX46" s="170">
        <v>9.5</v>
      </c>
      <c r="AY46" s="170">
        <v>9.5</v>
      </c>
      <c r="AZ46" s="170">
        <v>9.5</v>
      </c>
      <c r="BA46" s="170">
        <v>9.5</v>
      </c>
      <c r="BB46" s="179"/>
      <c r="BC46" s="172">
        <f t="shared" ca="1" si="26"/>
        <v>38.845555555555563</v>
      </c>
      <c r="BD46" s="173">
        <f t="shared" ca="1" si="57"/>
        <v>9.7113888888888908</v>
      </c>
      <c r="BE46" s="173">
        <f t="shared" ca="1" si="57"/>
        <v>9.7113888888888908</v>
      </c>
      <c r="BF46" s="173">
        <f t="shared" ca="1" si="57"/>
        <v>9.7113888888888908</v>
      </c>
      <c r="BG46" s="173">
        <f t="shared" ca="1" si="57"/>
        <v>9.7113888888888908</v>
      </c>
      <c r="BH46" s="180"/>
      <c r="BI46" s="166">
        <f t="shared" ca="1" si="29"/>
        <v>37.129931623931618</v>
      </c>
      <c r="BJ46" s="167">
        <f t="shared" ca="1" si="58"/>
        <v>9.2824829059829046</v>
      </c>
      <c r="BK46" s="167">
        <f t="shared" ca="1" si="59"/>
        <v>9.2824829059829046</v>
      </c>
      <c r="BL46" s="167">
        <f t="shared" ca="1" si="60"/>
        <v>9.2824829059829046</v>
      </c>
      <c r="BM46" s="167">
        <f t="shared" ca="1" si="61"/>
        <v>9.2824829059829046</v>
      </c>
      <c r="BN46" s="178"/>
      <c r="BO46" s="169">
        <f t="shared" ca="1" si="32"/>
        <v>59.780102564102563</v>
      </c>
      <c r="BP46" s="170">
        <f ca="1">INDEX('Cap based on indoor unit SZ'!$V$43:$V$58,MATCH(AE46,'Cap based on indoor unit SZ'!$U$43:$U$58))</f>
        <v>14.945025641025641</v>
      </c>
      <c r="BQ46" s="170">
        <f ca="1">INDEX('Cap based on indoor unit SZ'!$V$43:$V$58,MATCH(AF46,'Cap based on indoor unit SZ'!$U$43:$U$58))</f>
        <v>14.945025641025641</v>
      </c>
      <c r="BR46" s="170">
        <f ca="1">INDEX('Cap based on indoor unit SZ'!$V$43:$V$58,MATCH(AG46,'Cap based on indoor unit SZ'!$U$43:$U$58))</f>
        <v>14.945025641025641</v>
      </c>
      <c r="BS46" s="170">
        <f ca="1">INDEX('Cap based on indoor unit SZ'!$V$43:$V$58,MATCH(AH46,'Cap based on indoor unit SZ'!$U$43:$U$58))</f>
        <v>14.945025641025641</v>
      </c>
      <c r="BT46" s="179"/>
      <c r="BU46" s="175">
        <v>10000</v>
      </c>
      <c r="BV46" s="175">
        <v>10000</v>
      </c>
      <c r="BW46" s="175">
        <v>10000</v>
      </c>
      <c r="BX46" s="175">
        <v>10000</v>
      </c>
      <c r="BY46" s="179"/>
      <c r="BZ46" s="172">
        <f t="shared" ca="1" si="33"/>
        <v>37.129931623931618</v>
      </c>
      <c r="CA46" s="173">
        <f t="shared" ca="1" si="62"/>
        <v>9.2824829059829046</v>
      </c>
      <c r="CB46" s="173">
        <f t="shared" ca="1" si="63"/>
        <v>9.2824829059829046</v>
      </c>
      <c r="CC46" s="173">
        <f t="shared" ca="1" si="64"/>
        <v>9.2824829059829046</v>
      </c>
      <c r="CD46" s="173">
        <f t="shared" ca="1" si="65"/>
        <v>9.2824829059829046</v>
      </c>
      <c r="CE46" s="180"/>
      <c r="CF46" s="166">
        <f t="shared" ca="1" si="36"/>
        <v>31.076329985875613</v>
      </c>
      <c r="CG46" s="167">
        <f t="shared" ca="1" si="37"/>
        <v>7.7690824964689034</v>
      </c>
      <c r="CH46" s="167">
        <f t="shared" ca="1" si="38"/>
        <v>7.7690824964689034</v>
      </c>
      <c r="CI46" s="167">
        <f t="shared" ca="1" si="52"/>
        <v>7.7690824964689034</v>
      </c>
      <c r="CJ46" s="167">
        <f t="shared" ca="1" si="66"/>
        <v>7.7690824964689034</v>
      </c>
      <c r="CK46" s="178"/>
    </row>
    <row r="47" spans="2:89">
      <c r="B47" s="214">
        <v>18</v>
      </c>
      <c r="C47" s="214">
        <v>69.8</v>
      </c>
      <c r="D47" s="214">
        <v>59</v>
      </c>
      <c r="E47" s="215" t="s">
        <v>16</v>
      </c>
      <c r="F47" s="216">
        <v>15.11</v>
      </c>
      <c r="G47" s="217">
        <v>15.49</v>
      </c>
      <c r="H47" s="217">
        <v>15.34</v>
      </c>
      <c r="I47" s="217">
        <v>15.03</v>
      </c>
      <c r="J47" s="217">
        <v>14.72</v>
      </c>
      <c r="K47" s="217">
        <v>16.14</v>
      </c>
      <c r="L47" s="218">
        <v>17</v>
      </c>
      <c r="M47" s="218">
        <v>15.95</v>
      </c>
      <c r="N47" s="218">
        <v>15.23</v>
      </c>
      <c r="O47" s="218">
        <v>12</v>
      </c>
      <c r="P47" s="218">
        <v>11.58</v>
      </c>
      <c r="Q47" s="218">
        <v>9.89</v>
      </c>
      <c r="R47" s="152"/>
      <c r="S47" s="152"/>
      <c r="T47" s="152"/>
      <c r="U47" s="183"/>
      <c r="V47" s="152"/>
      <c r="W47" s="152"/>
      <c r="X47" s="152"/>
      <c r="Y47" s="152"/>
      <c r="AC47" s="160" t="s">
        <v>65</v>
      </c>
      <c r="AD47" s="160">
        <v>36</v>
      </c>
      <c r="AE47" s="160"/>
      <c r="AF47" s="160"/>
      <c r="AG47" s="160"/>
      <c r="AH47" s="160"/>
      <c r="AI47" s="160"/>
      <c r="AJ47" s="160"/>
      <c r="AK47" s="166"/>
      <c r="AL47" s="162" t="s">
        <v>60</v>
      </c>
      <c r="AM47" s="162" t="s">
        <v>61</v>
      </c>
      <c r="AN47" s="162" t="s">
        <v>62</v>
      </c>
      <c r="AO47" s="162" t="s">
        <v>63</v>
      </c>
      <c r="AP47" s="162" t="s">
        <v>64</v>
      </c>
      <c r="AQ47" s="169"/>
      <c r="AR47" s="160" t="s">
        <v>60</v>
      </c>
      <c r="AS47" s="160" t="s">
        <v>61</v>
      </c>
      <c r="AT47" s="160" t="s">
        <v>62</v>
      </c>
      <c r="AU47" s="160" t="s">
        <v>63</v>
      </c>
      <c r="AV47" s="160" t="s">
        <v>64</v>
      </c>
      <c r="AW47" s="169"/>
      <c r="AX47" s="160" t="s">
        <v>60</v>
      </c>
      <c r="AY47" s="160" t="s">
        <v>61</v>
      </c>
      <c r="AZ47" s="160" t="s">
        <v>62</v>
      </c>
      <c r="BA47" s="160" t="s">
        <v>63</v>
      </c>
      <c r="BB47" s="160" t="s">
        <v>64</v>
      </c>
      <c r="BC47" s="172"/>
      <c r="BD47" s="163" t="s">
        <v>60</v>
      </c>
      <c r="BE47" s="163" t="s">
        <v>61</v>
      </c>
      <c r="BF47" s="163" t="s">
        <v>62</v>
      </c>
      <c r="BG47" s="163" t="s">
        <v>63</v>
      </c>
      <c r="BH47" s="163" t="s">
        <v>64</v>
      </c>
      <c r="BI47" s="166"/>
      <c r="BJ47" s="162" t="s">
        <v>60</v>
      </c>
      <c r="BK47" s="162" t="s">
        <v>61</v>
      </c>
      <c r="BL47" s="162" t="s">
        <v>62</v>
      </c>
      <c r="BM47" s="162" t="s">
        <v>63</v>
      </c>
      <c r="BN47" s="162" t="s">
        <v>64</v>
      </c>
      <c r="BO47" s="169"/>
      <c r="BP47" s="160" t="s">
        <v>60</v>
      </c>
      <c r="BQ47" s="160" t="s">
        <v>61</v>
      </c>
      <c r="BR47" s="160" t="s">
        <v>62</v>
      </c>
      <c r="BS47" s="160" t="s">
        <v>63</v>
      </c>
      <c r="BT47" s="160" t="s">
        <v>64</v>
      </c>
      <c r="BU47" s="160" t="s">
        <v>60</v>
      </c>
      <c r="BV47" s="160" t="s">
        <v>61</v>
      </c>
      <c r="BW47" s="160" t="s">
        <v>62</v>
      </c>
      <c r="BX47" s="160" t="s">
        <v>63</v>
      </c>
      <c r="BY47" s="160" t="s">
        <v>64</v>
      </c>
      <c r="BZ47" s="172"/>
      <c r="CA47" s="163" t="s">
        <v>60</v>
      </c>
      <c r="CB47" s="163" t="s">
        <v>61</v>
      </c>
      <c r="CC47" s="163" t="s">
        <v>62</v>
      </c>
      <c r="CD47" s="163" t="s">
        <v>63</v>
      </c>
      <c r="CE47" s="163" t="s">
        <v>64</v>
      </c>
      <c r="CF47" s="166"/>
      <c r="CG47" s="162" t="s">
        <v>60</v>
      </c>
      <c r="CH47" s="162" t="s">
        <v>61</v>
      </c>
      <c r="CI47" s="162" t="s">
        <v>62</v>
      </c>
      <c r="CJ47" s="162" t="s">
        <v>63</v>
      </c>
      <c r="CK47" s="162" t="s">
        <v>64</v>
      </c>
    </row>
    <row r="48" spans="2:89">
      <c r="B48" s="197">
        <v>18</v>
      </c>
      <c r="C48" s="197">
        <v>75.2</v>
      </c>
      <c r="D48" s="197">
        <v>62.6</v>
      </c>
      <c r="E48" s="198" t="s">
        <v>16</v>
      </c>
      <c r="F48" s="199">
        <v>15.35</v>
      </c>
      <c r="G48" s="200">
        <v>15.61</v>
      </c>
      <c r="H48" s="200">
        <v>15.29</v>
      </c>
      <c r="I48" s="200">
        <v>15.4</v>
      </c>
      <c r="J48" s="200">
        <v>15.28</v>
      </c>
      <c r="K48" s="200">
        <v>16.98</v>
      </c>
      <c r="L48" s="201">
        <v>18.350000000000001</v>
      </c>
      <c r="M48" s="201">
        <v>17.010000000000002</v>
      </c>
      <c r="N48" s="201">
        <v>15.87</v>
      </c>
      <c r="O48" s="201">
        <v>11.53</v>
      </c>
      <c r="P48" s="201">
        <v>11.88</v>
      </c>
      <c r="Q48" s="201">
        <v>9.93</v>
      </c>
      <c r="R48" s="152"/>
      <c r="S48" s="152"/>
      <c r="T48" s="152"/>
      <c r="U48" s="183"/>
      <c r="V48" s="152"/>
      <c r="W48" s="152"/>
      <c r="X48" s="152"/>
      <c r="Y48" s="152"/>
      <c r="AC48" s="164" t="s">
        <v>188</v>
      </c>
      <c r="AD48" s="164">
        <v>36</v>
      </c>
      <c r="AE48" s="165">
        <v>9</v>
      </c>
      <c r="AF48" s="165">
        <v>18</v>
      </c>
      <c r="AG48" s="165"/>
      <c r="AH48" s="165"/>
      <c r="AI48" s="164"/>
      <c r="AJ48" s="500">
        <v>2</v>
      </c>
      <c r="AK48" s="166">
        <f t="shared" ref="AK48:AK91" ca="1" si="67">SUM(AL48:AP48)</f>
        <v>30.284222222222223</v>
      </c>
      <c r="AL48" s="167">
        <f t="shared" ref="AL48:AL55" ca="1" si="68">IF((INDEX($AA$4:$AA$7,MATCH(INDOOR_1,$Z$4:$Z$7))*(INDEX($X$27:$X$46,MATCH($AD48,$W$27:$W$46,1))/(INDEX($AA$4:$AA$7,MATCH(INDOOR_1,$Z$4:$Z$7))+INDEX($AA$4:$AA$7,MATCH(INDOOR_2,$Z$4:$Z$7)))))
&gt;AR48,AR48,
(INDEX($AA$4:$AA$7,MATCH(INDOOR_1,$Z$4:$Z$7))*(INDEX($X$27:$X$46,MATCH($AD48,$W$27:$W$46,1))/(INDEX($AA$4:$AA$7,MATCH(INDOOR_1,$Z$4:$Z$7))+INDEX($AA$4:$AA$7,MATCH(INDOOR_2,$Z$4:$Z$7))))))</f>
        <v>10.463111111111111</v>
      </c>
      <c r="AM48" s="167">
        <f t="shared" ref="AM48:AM55" ca="1" si="69">IF((INDEX($AA$4:$AA$7,MATCH(INDOOR_2,$Z$4:$Z$7))*(INDEX($X$27:$X$46,MATCH($AD48,$W$27:$W$46,1))/(INDEX($AA$4:$AA$7,MATCH(INDOOR_1,$Z$4:$Z$7))+INDEX($AA$4:$AA$7,MATCH(INDOOR_2,$Z$4:$Z$7)))))
&gt;AS48,AS48,
(INDEX($AA$4:$AA$7,MATCH(INDOOR_2,$Z$4:$Z$7))*(INDEX($X$27:$X$46,MATCH($AD48,$W$27:$W$46,1))/(INDEX($AA$4:$AA$7,MATCH(INDOOR_1,$Z$4:$Z$7))+INDEX($AA$4:$AA$7,MATCH(INDOOR_2,$Z$4:$Z$7))))))</f>
        <v>19.821111111111112</v>
      </c>
      <c r="AN48" s="178"/>
      <c r="AO48" s="178"/>
      <c r="AP48" s="178"/>
      <c r="AQ48" s="169">
        <f t="shared" ref="AQ48:AQ91" ca="1" si="70">SUM(AR48:AV48)</f>
        <v>30.284222222222223</v>
      </c>
      <c r="AR48" s="170">
        <f ca="1">INDEX('Cap based on indoor unit SZ'!$J$6:$J$21,MATCH(AE48,'Cap based on indoor unit SZ'!$I$6:$I$21))</f>
        <v>10.463111111111111</v>
      </c>
      <c r="AS48" s="170">
        <f ca="1">INDEX('Cap based on indoor unit SZ'!$J$6:$J$21,MATCH(AF48,'Cap based on indoor unit SZ'!$I$6:$I$21))</f>
        <v>19.821111111111112</v>
      </c>
      <c r="AT48" s="179"/>
      <c r="AU48" s="179"/>
      <c r="AV48" s="179"/>
      <c r="AW48" s="169">
        <f t="shared" ref="AW48:AW91" si="71">SUM(AX48:BB48)</f>
        <v>27.5</v>
      </c>
      <c r="AX48" s="170">
        <v>9.5</v>
      </c>
      <c r="AY48" s="170">
        <v>18</v>
      </c>
      <c r="AZ48" s="179"/>
      <c r="BA48" s="179"/>
      <c r="BB48" s="179"/>
      <c r="BC48" s="172">
        <f t="shared" ref="BC48:BC91" ca="1" si="72">SUM(BD48:BH48)</f>
        <v>40.956666666666656</v>
      </c>
      <c r="BD48" s="173">
        <f t="shared" ref="BD48:BD55" ca="1" si="73">(INDEX($AA$4:$AA$7,MATCH(AE48,$Z$4:$Z$7))*(INDEX($X$27:$X$46,MATCH($AD48,$W$27:$W$46,1))/(INDEX($AA$4:$AA$7,MATCH(AE48,$Z$4:$Z$7))+INDEX($AA$4:$AA$7,MATCH(AF48,$Z$4:$Z$7)))))</f>
        <v>13.652222222222219</v>
      </c>
      <c r="BE48" s="173">
        <f t="shared" ref="BE48:BE55" ca="1" si="74">(INDEX($AA$4:$AA$7,MATCH(AF48,$Z$4:$Z$7))*(INDEX($X$27:$X$46,MATCH($AD48,$W$27:$W$46,1))/(INDEX($AA$4:$AA$7,MATCH(AE48,$Z$4:$Z$7))+INDEX($AA$4:$AA$7,MATCH(AF48,$Z$4:$Z$7)))))</f>
        <v>27.304444444444439</v>
      </c>
      <c r="BF48" s="180"/>
      <c r="BG48" s="180"/>
      <c r="BH48" s="180"/>
      <c r="BI48" s="166">
        <f t="shared" ref="BI48:BI91" ca="1" si="75">SUM(BJ48:BN48)</f>
        <v>36.554841025641025</v>
      </c>
      <c r="BJ48" s="167">
        <f t="shared" ref="BJ48:BJ55" ca="1" si="76">IF((INDEX($AA$4:$AA$7,MATCH(INDOOR_1,$Z$4:$Z$7))*(INDEX($X$118:$X$137,MATCH($AD48,$W$118:$W$137,1))/(INDEX($AA$4:$AA$7,MATCH(INDOOR_1,$Z$4:$Z$7))+INDEX($AA$4:$AA$7,MATCH(INDOOR_2,$Z$4:$Z$7)))))
&gt;BP48,BP48,
(INDEX($AA$4:$AA$7,MATCH(INDOOR_1,$Z$4:$Z$7))*(INDEX($X$118:$X$137,MATCH($AD48,$W$118:$W$137,1))/(INDEX($AA$4:$AA$7,MATCH(INDOOR_1,$Z$4:$Z$7))+INDEX($AA$4:$AA$7,MATCH(INDOOR_2,$Z$4:$Z$7))))))</f>
        <v>11.956020512820512</v>
      </c>
      <c r="BK48" s="167">
        <f t="shared" ref="BK48:BK55" ca="1" si="77">IF((INDEX($AA$4:$AA$7,MATCH(INDOOR_2,$Z$4:$Z$7))*(INDEX($X$118:$X$137,MATCH($AD48,$W$118:$W$137,1))/(INDEX($AA$4:$AA$7,MATCH(INDOOR_1,$Z$4:$Z$7))+INDEX($AA$4:$AA$7,MATCH(INDOOR_2,$Z$4:$Z$7)))))
&gt;BQ48,BQ48,
(INDEX($AA$4:$AA$7,MATCH(INDOOR_2,$Z$4:$Z$7))*(INDEX($X$118:$X$137,MATCH($AD48,$W$118:$W$137,1))/(INDEX($AA$4:$AA$7,MATCH(INDOOR_1,$Z$4:$Z$7))+INDEX($AA$4:$AA$7,MATCH(INDOOR_2,$Z$4:$Z$7))))))</f>
        <v>24.598820512820513</v>
      </c>
      <c r="BL48" s="178"/>
      <c r="BM48" s="178"/>
      <c r="BN48" s="178"/>
      <c r="BO48" s="169">
        <f t="shared" ref="BO48:BO91" ca="1" si="78">SUM(BP48:BT48)</f>
        <v>36.554841025641025</v>
      </c>
      <c r="BP48" s="170">
        <f ca="1">INDEX('Cap based on indoor unit SZ'!$V$43:$V$58,MATCH(AE48,'Cap based on indoor unit SZ'!$U$43:$U$58))</f>
        <v>11.956020512820512</v>
      </c>
      <c r="BQ48" s="170">
        <f ca="1">INDEX('Cap based on indoor unit SZ'!$V$43:$V$58,MATCH(AF48,'Cap based on indoor unit SZ'!$U$43:$U$58))</f>
        <v>24.598820512820513</v>
      </c>
      <c r="BR48" s="179"/>
      <c r="BS48" s="179"/>
      <c r="BT48" s="179"/>
      <c r="BU48" s="175">
        <v>10000</v>
      </c>
      <c r="BV48" s="175">
        <v>18000</v>
      </c>
      <c r="BW48" s="179"/>
      <c r="BX48" s="179"/>
      <c r="BY48" s="179"/>
      <c r="BZ48" s="172">
        <f t="shared" ref="BZ48:BZ91" ca="1" si="79">SUM(CA48:CE48)</f>
        <v>50.32039316239316</v>
      </c>
      <c r="CA48" s="173">
        <f t="shared" ref="CA48:CA55" ca="1" si="80">(INDEX($AA$4:$AA$7,MATCH(INDOOR_1,$Z$4:$Z$7))*(INDEX($X$118:$X$137,MATCH($AD48,$W$118:$W$137,1))/(INDEX($AA$4:$AA$7,MATCH(INDOOR_1,$Z$4:$Z$7))+INDEX($AA$4:$AA$7,MATCH(INDOOR_2,$Z$4:$Z$7)))))</f>
        <v>16.773464387464387</v>
      </c>
      <c r="CB48" s="173">
        <f t="shared" ref="CB48:CB55" ca="1" si="81">(INDEX($AA$4:$AA$7,MATCH(INDOOR_2,$Z$4:$Z$7))*(INDEX($X$118:$X$137,MATCH($AD48,$W$118:$W$137,1))/(INDEX($AA$4:$AA$7,MATCH(INDOOR_1,$Z$4:$Z$7))+INDEX($AA$4:$AA$7,MATCH(INDOOR_2,$Z$4:$Z$7)))))</f>
        <v>33.546928774928773</v>
      </c>
      <c r="CC48" s="180"/>
      <c r="CD48" s="180"/>
      <c r="CE48" s="180"/>
      <c r="CF48" s="166">
        <f t="shared" ref="CF48:CF91" ca="1" si="82">SUM(CG48:CK48)</f>
        <v>25.905525562420578</v>
      </c>
      <c r="CG48" s="167">
        <f t="shared" ref="CG48:CG91" ca="1" si="83">AL48*(INDEX($X$67:$X$86,MATCH($AD48,$W$67:$W$86,1)))</f>
        <v>8.950284090586301</v>
      </c>
      <c r="CH48" s="167">
        <f t="shared" ref="CH48:CH91" ca="1" si="84">AM48*(INDEX($X$67:$X$86,MATCH($AD48,$W$67:$W$86,1)))</f>
        <v>16.955241471834277</v>
      </c>
      <c r="CI48" s="178"/>
      <c r="CJ48" s="178"/>
      <c r="CK48" s="178"/>
    </row>
    <row r="49" spans="2:89">
      <c r="B49" s="197">
        <v>18</v>
      </c>
      <c r="C49" s="197">
        <v>80.599999999999994</v>
      </c>
      <c r="D49" s="197">
        <v>66.2</v>
      </c>
      <c r="E49" s="198" t="s">
        <v>16</v>
      </c>
      <c r="F49" s="199">
        <v>16.440000000000001</v>
      </c>
      <c r="G49" s="200">
        <v>16.850000000000001</v>
      </c>
      <c r="H49" s="200">
        <v>16.64</v>
      </c>
      <c r="I49" s="200">
        <v>18.05</v>
      </c>
      <c r="J49" s="200">
        <v>17.14</v>
      </c>
      <c r="K49" s="200">
        <v>18.11</v>
      </c>
      <c r="L49" s="201">
        <v>18.329999999999998</v>
      </c>
      <c r="M49" s="201">
        <v>17.89</v>
      </c>
      <c r="N49" s="201">
        <v>16.16</v>
      </c>
      <c r="O49" s="201">
        <v>14.52</v>
      </c>
      <c r="P49" s="201">
        <v>14.08</v>
      </c>
      <c r="Q49" s="201">
        <v>10.4</v>
      </c>
      <c r="R49" s="152"/>
      <c r="S49" s="152"/>
      <c r="T49" s="152"/>
      <c r="U49" s="183"/>
      <c r="V49" s="152"/>
      <c r="W49" s="152"/>
      <c r="X49" s="152"/>
      <c r="Y49" s="152"/>
      <c r="AC49" s="164" t="s">
        <v>187</v>
      </c>
      <c r="AD49" s="164">
        <v>36</v>
      </c>
      <c r="AE49" s="165">
        <v>9</v>
      </c>
      <c r="AF49" s="165">
        <v>24</v>
      </c>
      <c r="AG49" s="165"/>
      <c r="AH49" s="165"/>
      <c r="AI49" s="164"/>
      <c r="AJ49" s="500"/>
      <c r="AK49" s="166">
        <f t="shared" ca="1" si="67"/>
        <v>34.915333333333329</v>
      </c>
      <c r="AL49" s="167">
        <f t="shared" ca="1" si="68"/>
        <v>10.463111111111111</v>
      </c>
      <c r="AM49" s="167">
        <f t="shared" ca="1" si="69"/>
        <v>24.452222222222218</v>
      </c>
      <c r="AN49" s="178"/>
      <c r="AO49" s="178"/>
      <c r="AP49" s="178"/>
      <c r="AQ49" s="169">
        <f t="shared" ca="1" si="70"/>
        <v>34.915333333333329</v>
      </c>
      <c r="AR49" s="170">
        <f ca="1">INDEX('Cap based on indoor unit SZ'!$J$6:$J$21,MATCH(AE49,'Cap based on indoor unit SZ'!$I$6:$I$21))</f>
        <v>10.463111111111111</v>
      </c>
      <c r="AS49" s="170">
        <f ca="1">INDEX('Cap based on indoor unit SZ'!$J$6:$J$21,MATCH(AF49,'Cap based on indoor unit SZ'!$I$6:$I$21))</f>
        <v>24.452222222222218</v>
      </c>
      <c r="AT49" s="179"/>
      <c r="AU49" s="179"/>
      <c r="AV49" s="179"/>
      <c r="AW49" s="169">
        <f t="shared" si="71"/>
        <v>33.5</v>
      </c>
      <c r="AX49" s="170">
        <v>9.5</v>
      </c>
      <c r="AY49" s="170">
        <v>24</v>
      </c>
      <c r="AZ49" s="179"/>
      <c r="BA49" s="179"/>
      <c r="BB49" s="179"/>
      <c r="BC49" s="172">
        <f t="shared" ca="1" si="72"/>
        <v>40.956666666666663</v>
      </c>
      <c r="BD49" s="173">
        <f t="shared" ca="1" si="73"/>
        <v>11.169999999999998</v>
      </c>
      <c r="BE49" s="173">
        <f t="shared" ca="1" si="74"/>
        <v>29.786666666666662</v>
      </c>
      <c r="BF49" s="180"/>
      <c r="BG49" s="180"/>
      <c r="BH49" s="180"/>
      <c r="BI49" s="166">
        <f t="shared" ca="1" si="75"/>
        <v>42.246020512820515</v>
      </c>
      <c r="BJ49" s="167">
        <f t="shared" ca="1" si="76"/>
        <v>11.956020512820512</v>
      </c>
      <c r="BK49" s="167">
        <f t="shared" ca="1" si="77"/>
        <v>30.290000000000003</v>
      </c>
      <c r="BL49" s="178"/>
      <c r="BM49" s="178"/>
      <c r="BN49" s="178"/>
      <c r="BO49" s="169">
        <f t="shared" ca="1" si="78"/>
        <v>42.246020512820515</v>
      </c>
      <c r="BP49" s="170">
        <f ca="1">INDEX('Cap based on indoor unit SZ'!$V$43:$V$58,MATCH(AE49,'Cap based on indoor unit SZ'!$U$43:$U$58))</f>
        <v>11.956020512820512</v>
      </c>
      <c r="BQ49" s="170">
        <f ca="1">INDEX('Cap based on indoor unit SZ'!$V$43:$V$58,MATCH(AF49,'Cap based on indoor unit SZ'!$U$43:$U$58))</f>
        <v>30.290000000000003</v>
      </c>
      <c r="BR49" s="179"/>
      <c r="BS49" s="179"/>
      <c r="BT49" s="179"/>
      <c r="BU49" s="175">
        <v>10000</v>
      </c>
      <c r="BV49" s="175">
        <v>25000</v>
      </c>
      <c r="BW49" s="179"/>
      <c r="BX49" s="179"/>
      <c r="BY49" s="179"/>
      <c r="BZ49" s="172">
        <f t="shared" ca="1" si="79"/>
        <v>50.32039316239316</v>
      </c>
      <c r="CA49" s="173">
        <f t="shared" ca="1" si="80"/>
        <v>13.72374358974359</v>
      </c>
      <c r="CB49" s="173">
        <f t="shared" ca="1" si="81"/>
        <v>36.596649572649568</v>
      </c>
      <c r="CC49" s="180"/>
      <c r="CD49" s="180"/>
      <c r="CE49" s="180"/>
      <c r="CF49" s="166">
        <f t="shared" ca="1" si="82"/>
        <v>29.867039462000442</v>
      </c>
      <c r="CG49" s="167">
        <f t="shared" ca="1" si="83"/>
        <v>8.950284090586301</v>
      </c>
      <c r="CH49" s="167">
        <f t="shared" ca="1" si="84"/>
        <v>20.916755371414141</v>
      </c>
      <c r="CI49" s="178"/>
      <c r="CJ49" s="178"/>
      <c r="CK49" s="178"/>
    </row>
    <row r="50" spans="2:89">
      <c r="B50" s="197">
        <v>18</v>
      </c>
      <c r="C50" s="197">
        <v>89.6</v>
      </c>
      <c r="D50" s="197">
        <v>73.400000000000006</v>
      </c>
      <c r="E50" s="198" t="s">
        <v>16</v>
      </c>
      <c r="F50" s="199">
        <v>17.2</v>
      </c>
      <c r="G50" s="200">
        <v>17.63</v>
      </c>
      <c r="H50" s="200">
        <v>17.649999999999999</v>
      </c>
      <c r="I50" s="200">
        <v>18.170000000000002</v>
      </c>
      <c r="J50" s="200">
        <v>18.68</v>
      </c>
      <c r="K50" s="200">
        <v>19.22</v>
      </c>
      <c r="L50" s="201">
        <v>22.44</v>
      </c>
      <c r="M50" s="201">
        <v>21.84</v>
      </c>
      <c r="N50" s="201">
        <v>20.190000000000001</v>
      </c>
      <c r="O50" s="201">
        <v>15.18</v>
      </c>
      <c r="P50" s="201">
        <v>14.88</v>
      </c>
      <c r="Q50" s="201">
        <v>11.11</v>
      </c>
      <c r="R50" s="152"/>
      <c r="S50" s="152"/>
      <c r="T50" s="152"/>
      <c r="U50" s="183"/>
      <c r="V50" s="152"/>
      <c r="W50" s="152"/>
      <c r="X50" s="152"/>
      <c r="Y50" s="152"/>
      <c r="AC50" s="164" t="s">
        <v>186</v>
      </c>
      <c r="AD50" s="164">
        <v>36</v>
      </c>
      <c r="AE50" s="165">
        <v>12</v>
      </c>
      <c r="AF50" s="165">
        <v>12</v>
      </c>
      <c r="AG50" s="165"/>
      <c r="AH50" s="164"/>
      <c r="AI50" s="164"/>
      <c r="AJ50" s="500"/>
      <c r="AK50" s="166">
        <f t="shared" ca="1" si="67"/>
        <v>26.157777777777781</v>
      </c>
      <c r="AL50" s="167">
        <f t="shared" ca="1" si="68"/>
        <v>13.078888888888891</v>
      </c>
      <c r="AM50" s="167">
        <f t="shared" ca="1" si="69"/>
        <v>13.078888888888891</v>
      </c>
      <c r="AN50" s="178"/>
      <c r="AO50" s="178"/>
      <c r="AP50" s="178"/>
      <c r="AQ50" s="169">
        <f t="shared" ca="1" si="70"/>
        <v>26.157777777777781</v>
      </c>
      <c r="AR50" s="170">
        <f ca="1">INDEX('Cap based on indoor unit SZ'!$J$6:$J$21,MATCH(AE50,'Cap based on indoor unit SZ'!$I$6:$I$21))</f>
        <v>13.078888888888891</v>
      </c>
      <c r="AS50" s="170">
        <f ca="1">INDEX('Cap based on indoor unit SZ'!$J$6:$J$21,MATCH(AF50,'Cap based on indoor unit SZ'!$I$6:$I$21))</f>
        <v>13.078888888888891</v>
      </c>
      <c r="AT50" s="179"/>
      <c r="AU50" s="179"/>
      <c r="AV50" s="179"/>
      <c r="AW50" s="169">
        <f t="shared" si="71"/>
        <v>25</v>
      </c>
      <c r="AX50" s="170">
        <v>12.5</v>
      </c>
      <c r="AY50" s="170">
        <v>12.5</v>
      </c>
      <c r="AZ50" s="179"/>
      <c r="BA50" s="179"/>
      <c r="BB50" s="179"/>
      <c r="BC50" s="172">
        <f t="shared" ca="1" si="72"/>
        <v>40.956666666666656</v>
      </c>
      <c r="BD50" s="173">
        <f t="shared" ca="1" si="73"/>
        <v>20.478333333333328</v>
      </c>
      <c r="BE50" s="173">
        <f t="shared" ca="1" si="74"/>
        <v>20.478333333333328</v>
      </c>
      <c r="BF50" s="180"/>
      <c r="BG50" s="180"/>
      <c r="BH50" s="180"/>
      <c r="BI50" s="166">
        <f t="shared" ca="1" si="75"/>
        <v>29.890051282051282</v>
      </c>
      <c r="BJ50" s="167">
        <f t="shared" ca="1" si="76"/>
        <v>14.945025641025641</v>
      </c>
      <c r="BK50" s="167">
        <f t="shared" ca="1" si="77"/>
        <v>14.945025641025641</v>
      </c>
      <c r="BL50" s="178"/>
      <c r="BM50" s="178"/>
      <c r="BN50" s="178"/>
      <c r="BO50" s="169">
        <f t="shared" ca="1" si="78"/>
        <v>29.890051282051282</v>
      </c>
      <c r="BP50" s="170">
        <f ca="1">INDEX('Cap based on indoor unit SZ'!$V$43:$V$58,MATCH(AE50,'Cap based on indoor unit SZ'!$U$43:$U$58))</f>
        <v>14.945025641025641</v>
      </c>
      <c r="BQ50" s="170">
        <f ca="1">INDEX('Cap based on indoor unit SZ'!$V$43:$V$58,MATCH(AF50,'Cap based on indoor unit SZ'!$U$43:$U$58))</f>
        <v>14.945025641025641</v>
      </c>
      <c r="BR50" s="179"/>
      <c r="BS50" s="179"/>
      <c r="BT50" s="179"/>
      <c r="BU50" s="175">
        <v>13000</v>
      </c>
      <c r="BV50" s="175">
        <v>13000</v>
      </c>
      <c r="BW50" s="179"/>
      <c r="BX50" s="179"/>
      <c r="BY50" s="179"/>
      <c r="BZ50" s="172">
        <f t="shared" ca="1" si="79"/>
        <v>50.32039316239316</v>
      </c>
      <c r="CA50" s="173">
        <f t="shared" ca="1" si="80"/>
        <v>25.16019658119658</v>
      </c>
      <c r="CB50" s="173">
        <f t="shared" ca="1" si="81"/>
        <v>25.16019658119658</v>
      </c>
      <c r="CC50" s="180"/>
      <c r="CD50" s="180"/>
      <c r="CE50" s="180"/>
      <c r="CF50" s="166">
        <f t="shared" ca="1" si="82"/>
        <v>22.375710226465756</v>
      </c>
      <c r="CG50" s="167">
        <f t="shared" ca="1" si="83"/>
        <v>11.187855113232878</v>
      </c>
      <c r="CH50" s="167">
        <f t="shared" ca="1" si="84"/>
        <v>11.187855113232878</v>
      </c>
      <c r="CI50" s="178"/>
      <c r="CJ50" s="178"/>
      <c r="CK50" s="178"/>
    </row>
    <row r="51" spans="2:89">
      <c r="B51" s="197">
        <v>24</v>
      </c>
      <c r="C51" s="197">
        <v>69.8</v>
      </c>
      <c r="D51" s="197">
        <v>59</v>
      </c>
      <c r="E51" s="198" t="s">
        <v>16</v>
      </c>
      <c r="F51" s="199">
        <v>22.38</v>
      </c>
      <c r="G51" s="200">
        <v>22.94</v>
      </c>
      <c r="H51" s="200">
        <v>22.81</v>
      </c>
      <c r="I51" s="200">
        <v>22.82</v>
      </c>
      <c r="J51" s="200">
        <v>22.51</v>
      </c>
      <c r="K51" s="200">
        <v>22.93</v>
      </c>
      <c r="L51" s="201">
        <v>25.47</v>
      </c>
      <c r="M51" s="201">
        <v>22.82</v>
      </c>
      <c r="N51" s="201">
        <v>21.7</v>
      </c>
      <c r="O51" s="201">
        <v>19.420000000000002</v>
      </c>
      <c r="P51" s="201">
        <v>17.21</v>
      </c>
      <c r="Q51" s="201">
        <v>15.45</v>
      </c>
      <c r="R51" s="152"/>
      <c r="S51" s="152"/>
      <c r="T51" s="152"/>
      <c r="U51" s="183"/>
      <c r="V51" s="152"/>
      <c r="W51" s="152"/>
      <c r="X51" s="152"/>
      <c r="Y51" s="152"/>
      <c r="AC51" s="164" t="s">
        <v>185</v>
      </c>
      <c r="AD51" s="164">
        <v>36</v>
      </c>
      <c r="AE51" s="165">
        <v>12</v>
      </c>
      <c r="AF51" s="165">
        <v>18</v>
      </c>
      <c r="AG51" s="165"/>
      <c r="AH51" s="164"/>
      <c r="AI51" s="164"/>
      <c r="AJ51" s="500"/>
      <c r="AK51" s="166">
        <f t="shared" ca="1" si="67"/>
        <v>32.900000000000006</v>
      </c>
      <c r="AL51" s="167">
        <f t="shared" ca="1" si="68"/>
        <v>13.078888888888891</v>
      </c>
      <c r="AM51" s="167">
        <f t="shared" ca="1" si="69"/>
        <v>19.821111111111112</v>
      </c>
      <c r="AN51" s="178"/>
      <c r="AO51" s="178"/>
      <c r="AP51" s="178"/>
      <c r="AQ51" s="169">
        <f t="shared" ca="1" si="70"/>
        <v>32.900000000000006</v>
      </c>
      <c r="AR51" s="170">
        <f ca="1">INDEX('Cap based on indoor unit SZ'!$J$6:$J$21,MATCH(AE51,'Cap based on indoor unit SZ'!$I$6:$I$21))</f>
        <v>13.078888888888891</v>
      </c>
      <c r="AS51" s="170">
        <f ca="1">INDEX('Cap based on indoor unit SZ'!$J$6:$J$21,MATCH(AF51,'Cap based on indoor unit SZ'!$I$6:$I$21))</f>
        <v>19.821111111111112</v>
      </c>
      <c r="AT51" s="179"/>
      <c r="AU51" s="179"/>
      <c r="AV51" s="179"/>
      <c r="AW51" s="169">
        <f t="shared" si="71"/>
        <v>30</v>
      </c>
      <c r="AX51" s="170">
        <v>12</v>
      </c>
      <c r="AY51" s="170">
        <v>18</v>
      </c>
      <c r="AZ51" s="179"/>
      <c r="BA51" s="179"/>
      <c r="BB51" s="179"/>
      <c r="BC51" s="172">
        <f t="shared" ca="1" si="72"/>
        <v>40.956666666666656</v>
      </c>
      <c r="BD51" s="173">
        <f t="shared" ca="1" si="73"/>
        <v>16.382666666666662</v>
      </c>
      <c r="BE51" s="173">
        <f t="shared" ca="1" si="74"/>
        <v>24.573999999999995</v>
      </c>
      <c r="BF51" s="180"/>
      <c r="BG51" s="180"/>
      <c r="BH51" s="180"/>
      <c r="BI51" s="166">
        <f t="shared" ca="1" si="75"/>
        <v>39.543846153846154</v>
      </c>
      <c r="BJ51" s="167">
        <f t="shared" ca="1" si="76"/>
        <v>14.945025641025641</v>
      </c>
      <c r="BK51" s="167">
        <f t="shared" ca="1" si="77"/>
        <v>24.598820512820513</v>
      </c>
      <c r="BL51" s="178"/>
      <c r="BM51" s="178"/>
      <c r="BN51" s="178"/>
      <c r="BO51" s="169">
        <f t="shared" ca="1" si="78"/>
        <v>39.543846153846154</v>
      </c>
      <c r="BP51" s="170">
        <f ca="1">INDEX('Cap based on indoor unit SZ'!$V$43:$V$58,MATCH(AE51,'Cap based on indoor unit SZ'!$U$43:$U$58))</f>
        <v>14.945025641025641</v>
      </c>
      <c r="BQ51" s="170">
        <f ca="1">INDEX('Cap based on indoor unit SZ'!$V$43:$V$58,MATCH(AF51,'Cap based on indoor unit SZ'!$U$43:$U$58))</f>
        <v>24.598820512820513</v>
      </c>
      <c r="BR51" s="179"/>
      <c r="BS51" s="179"/>
      <c r="BT51" s="179"/>
      <c r="BU51" s="175">
        <v>13000</v>
      </c>
      <c r="BV51" s="175">
        <v>19000</v>
      </c>
      <c r="BW51" s="179"/>
      <c r="BX51" s="179"/>
      <c r="BY51" s="179"/>
      <c r="BZ51" s="172">
        <f t="shared" ca="1" si="79"/>
        <v>50.320393162393167</v>
      </c>
      <c r="CA51" s="173">
        <f t="shared" ca="1" si="80"/>
        <v>20.128157264957267</v>
      </c>
      <c r="CB51" s="173">
        <f t="shared" ca="1" si="81"/>
        <v>30.1922358974359</v>
      </c>
      <c r="CC51" s="180"/>
      <c r="CD51" s="180"/>
      <c r="CE51" s="180"/>
      <c r="CF51" s="166">
        <f t="shared" ca="1" si="82"/>
        <v>28.143096585067156</v>
      </c>
      <c r="CG51" s="167">
        <f t="shared" ca="1" si="83"/>
        <v>11.187855113232878</v>
      </c>
      <c r="CH51" s="167">
        <f t="shared" ca="1" si="84"/>
        <v>16.955241471834277</v>
      </c>
      <c r="CI51" s="178"/>
      <c r="CJ51" s="178"/>
      <c r="CK51" s="178"/>
    </row>
    <row r="52" spans="2:89">
      <c r="B52" s="197">
        <v>24</v>
      </c>
      <c r="C52" s="197">
        <v>75.2</v>
      </c>
      <c r="D52" s="197">
        <v>62.6</v>
      </c>
      <c r="E52" s="198" t="s">
        <v>16</v>
      </c>
      <c r="F52" s="199">
        <v>24.17</v>
      </c>
      <c r="G52" s="200">
        <v>24.77</v>
      </c>
      <c r="H52" s="200">
        <v>24.63</v>
      </c>
      <c r="I52" s="200">
        <v>24.65</v>
      </c>
      <c r="J52" s="200">
        <v>24.31</v>
      </c>
      <c r="K52" s="200">
        <v>24.76</v>
      </c>
      <c r="L52" s="201">
        <v>26.28</v>
      </c>
      <c r="M52" s="201">
        <v>23.86</v>
      </c>
      <c r="N52" s="201">
        <v>22.72</v>
      </c>
      <c r="O52" s="201">
        <v>19.420000000000002</v>
      </c>
      <c r="P52" s="201">
        <v>18.02</v>
      </c>
      <c r="Q52" s="201">
        <v>16.52</v>
      </c>
      <c r="R52" s="152"/>
      <c r="S52" s="152"/>
      <c r="T52" s="152"/>
      <c r="U52" s="183"/>
      <c r="V52" s="152"/>
      <c r="W52" s="152"/>
      <c r="X52" s="152"/>
      <c r="Y52" s="152"/>
      <c r="AC52" s="164" t="s">
        <v>184</v>
      </c>
      <c r="AD52" s="164">
        <v>36</v>
      </c>
      <c r="AE52" s="165">
        <v>12</v>
      </c>
      <c r="AF52" s="165">
        <v>24</v>
      </c>
      <c r="AG52" s="165"/>
      <c r="AH52" s="164"/>
      <c r="AI52" s="164"/>
      <c r="AJ52" s="500"/>
      <c r="AK52" s="166">
        <f t="shared" ca="1" si="67"/>
        <v>37.531111111111109</v>
      </c>
      <c r="AL52" s="167">
        <f t="shared" ca="1" si="68"/>
        <v>13.078888888888891</v>
      </c>
      <c r="AM52" s="167">
        <f t="shared" ca="1" si="69"/>
        <v>24.452222222222218</v>
      </c>
      <c r="AN52" s="178"/>
      <c r="AO52" s="178"/>
      <c r="AP52" s="178"/>
      <c r="AQ52" s="169">
        <f t="shared" ca="1" si="70"/>
        <v>37.531111111111109</v>
      </c>
      <c r="AR52" s="170">
        <f ca="1">INDEX('Cap based on indoor unit SZ'!$J$6:$J$21,MATCH(AE52,'Cap based on indoor unit SZ'!$I$6:$I$21))</f>
        <v>13.078888888888891</v>
      </c>
      <c r="AS52" s="170">
        <f ca="1">INDEX('Cap based on indoor unit SZ'!$J$6:$J$21,MATCH(AF52,'Cap based on indoor unit SZ'!$I$6:$I$21))</f>
        <v>24.452222222222218</v>
      </c>
      <c r="AT52" s="179"/>
      <c r="AU52" s="179"/>
      <c r="AV52" s="179"/>
      <c r="AW52" s="169">
        <f t="shared" si="71"/>
        <v>36</v>
      </c>
      <c r="AX52" s="170">
        <v>12</v>
      </c>
      <c r="AY52" s="170">
        <v>24</v>
      </c>
      <c r="AZ52" s="179"/>
      <c r="BA52" s="179"/>
      <c r="BB52" s="179"/>
      <c r="BC52" s="172">
        <f t="shared" ca="1" si="72"/>
        <v>40.956666666666649</v>
      </c>
      <c r="BD52" s="173">
        <f t="shared" ca="1" si="73"/>
        <v>13.652222222222218</v>
      </c>
      <c r="BE52" s="173">
        <f t="shared" ca="1" si="74"/>
        <v>27.304444444444435</v>
      </c>
      <c r="BF52" s="180"/>
      <c r="BG52" s="180"/>
      <c r="BH52" s="180"/>
      <c r="BI52" s="166">
        <f t="shared" ca="1" si="75"/>
        <v>45.235025641025643</v>
      </c>
      <c r="BJ52" s="167">
        <f t="shared" ca="1" si="76"/>
        <v>14.945025641025641</v>
      </c>
      <c r="BK52" s="167">
        <f t="shared" ca="1" si="77"/>
        <v>30.290000000000003</v>
      </c>
      <c r="BL52" s="178"/>
      <c r="BM52" s="178"/>
      <c r="BN52" s="178"/>
      <c r="BO52" s="169">
        <f t="shared" ca="1" si="78"/>
        <v>45.235025641025643</v>
      </c>
      <c r="BP52" s="170">
        <f ca="1">INDEX('Cap based on indoor unit SZ'!$V$43:$V$58,MATCH(AE52,'Cap based on indoor unit SZ'!$U$43:$U$58))</f>
        <v>14.945025641025641</v>
      </c>
      <c r="BQ52" s="170">
        <f ca="1">INDEX('Cap based on indoor unit SZ'!$V$43:$V$58,MATCH(AF52,'Cap based on indoor unit SZ'!$U$43:$U$58))</f>
        <v>30.290000000000003</v>
      </c>
      <c r="BR52" s="179"/>
      <c r="BS52" s="179"/>
      <c r="BT52" s="179"/>
      <c r="BU52" s="175">
        <v>10000</v>
      </c>
      <c r="BV52" s="175">
        <v>25000</v>
      </c>
      <c r="BW52" s="179"/>
      <c r="BX52" s="179"/>
      <c r="BY52" s="179"/>
      <c r="BZ52" s="172">
        <f t="shared" ca="1" si="79"/>
        <v>50.32039316239316</v>
      </c>
      <c r="CA52" s="173">
        <f t="shared" ca="1" si="80"/>
        <v>16.773464387464387</v>
      </c>
      <c r="CB52" s="173">
        <f t="shared" ca="1" si="81"/>
        <v>33.546928774928773</v>
      </c>
      <c r="CC52" s="180"/>
      <c r="CD52" s="180"/>
      <c r="CE52" s="180"/>
      <c r="CF52" s="166">
        <f t="shared" ca="1" si="82"/>
        <v>32.104610484647019</v>
      </c>
      <c r="CG52" s="167">
        <f t="shared" ca="1" si="83"/>
        <v>11.187855113232878</v>
      </c>
      <c r="CH52" s="167">
        <f t="shared" ca="1" si="84"/>
        <v>20.916755371414141</v>
      </c>
      <c r="CI52" s="178"/>
      <c r="CJ52" s="178"/>
      <c r="CK52" s="178"/>
    </row>
    <row r="53" spans="2:89">
      <c r="B53" s="197">
        <v>24</v>
      </c>
      <c r="C53" s="197">
        <v>80.599999999999994</v>
      </c>
      <c r="D53" s="197">
        <v>66.2</v>
      </c>
      <c r="E53" s="198" t="s">
        <v>16</v>
      </c>
      <c r="F53" s="199">
        <v>25.38</v>
      </c>
      <c r="G53" s="200">
        <v>26.01</v>
      </c>
      <c r="H53" s="200">
        <v>26.07</v>
      </c>
      <c r="I53" s="200">
        <v>25.96</v>
      </c>
      <c r="J53" s="200">
        <v>26.26</v>
      </c>
      <c r="K53" s="200">
        <v>26.38</v>
      </c>
      <c r="L53" s="201">
        <v>26.95</v>
      </c>
      <c r="M53" s="201">
        <v>26.08</v>
      </c>
      <c r="N53" s="201">
        <v>25.06</v>
      </c>
      <c r="O53" s="201">
        <v>22.09</v>
      </c>
      <c r="P53" s="201">
        <v>23.84</v>
      </c>
      <c r="Q53" s="201">
        <v>20.05</v>
      </c>
      <c r="R53" s="152"/>
      <c r="S53" s="152"/>
      <c r="T53" s="152"/>
      <c r="U53" s="183"/>
      <c r="V53" s="152"/>
      <c r="W53" s="152"/>
      <c r="X53" s="152"/>
      <c r="Y53" s="152"/>
      <c r="AC53" s="164" t="s">
        <v>183</v>
      </c>
      <c r="AD53" s="164">
        <v>36</v>
      </c>
      <c r="AE53" s="165">
        <v>18</v>
      </c>
      <c r="AF53" s="165">
        <v>18</v>
      </c>
      <c r="AG53" s="165"/>
      <c r="AH53" s="164"/>
      <c r="AI53" s="164"/>
      <c r="AJ53" s="500"/>
      <c r="AK53" s="166">
        <f t="shared" ca="1" si="67"/>
        <v>39.642222222222223</v>
      </c>
      <c r="AL53" s="167">
        <f t="shared" ca="1" si="68"/>
        <v>19.821111111111112</v>
      </c>
      <c r="AM53" s="167">
        <f t="shared" ca="1" si="69"/>
        <v>19.821111111111112</v>
      </c>
      <c r="AN53" s="178"/>
      <c r="AO53" s="178"/>
      <c r="AP53" s="178"/>
      <c r="AQ53" s="169">
        <f t="shared" ca="1" si="70"/>
        <v>39.642222222222223</v>
      </c>
      <c r="AR53" s="170">
        <f ca="1">INDEX('Cap based on indoor unit SZ'!$J$6:$J$21,MATCH(AE53,'Cap based on indoor unit SZ'!$I$6:$I$21))</f>
        <v>19.821111111111112</v>
      </c>
      <c r="AS53" s="170">
        <f ca="1">INDEX('Cap based on indoor unit SZ'!$J$6:$J$21,MATCH(AF53,'Cap based on indoor unit SZ'!$I$6:$I$21))</f>
        <v>19.821111111111112</v>
      </c>
      <c r="AT53" s="179"/>
      <c r="AU53" s="179"/>
      <c r="AV53" s="179"/>
      <c r="AW53" s="169">
        <f t="shared" si="71"/>
        <v>37</v>
      </c>
      <c r="AX53" s="170">
        <v>18.5</v>
      </c>
      <c r="AY53" s="170">
        <v>18.5</v>
      </c>
      <c r="AZ53" s="179"/>
      <c r="BA53" s="179"/>
      <c r="BB53" s="179"/>
      <c r="BC53" s="172">
        <f t="shared" ca="1" si="72"/>
        <v>40.956666666666656</v>
      </c>
      <c r="BD53" s="173">
        <f t="shared" ca="1" si="73"/>
        <v>20.478333333333328</v>
      </c>
      <c r="BE53" s="173">
        <f t="shared" ca="1" si="74"/>
        <v>20.478333333333328</v>
      </c>
      <c r="BF53" s="180"/>
      <c r="BG53" s="180"/>
      <c r="BH53" s="180"/>
      <c r="BI53" s="166">
        <f t="shared" ca="1" si="75"/>
        <v>49.197641025641026</v>
      </c>
      <c r="BJ53" s="167">
        <f t="shared" ca="1" si="76"/>
        <v>24.598820512820513</v>
      </c>
      <c r="BK53" s="167">
        <f t="shared" ca="1" si="77"/>
        <v>24.598820512820513</v>
      </c>
      <c r="BL53" s="178"/>
      <c r="BM53" s="178"/>
      <c r="BN53" s="178"/>
      <c r="BO53" s="169">
        <f t="shared" ca="1" si="78"/>
        <v>49.197641025641026</v>
      </c>
      <c r="BP53" s="170">
        <f ca="1">INDEX('Cap based on indoor unit SZ'!$V$43:$V$58,MATCH(AE53,'Cap based on indoor unit SZ'!$U$43:$U$58))</f>
        <v>24.598820512820513</v>
      </c>
      <c r="BQ53" s="170">
        <f ca="1">INDEX('Cap based on indoor unit SZ'!$V$43:$V$58,MATCH(AF53,'Cap based on indoor unit SZ'!$U$43:$U$58))</f>
        <v>24.598820512820513</v>
      </c>
      <c r="BR53" s="179"/>
      <c r="BS53" s="179"/>
      <c r="BT53" s="179"/>
      <c r="BU53" s="175">
        <v>19000</v>
      </c>
      <c r="BV53" s="175">
        <v>19000</v>
      </c>
      <c r="BW53" s="179"/>
      <c r="BX53" s="179"/>
      <c r="BY53" s="179"/>
      <c r="BZ53" s="172">
        <f t="shared" ca="1" si="79"/>
        <v>50.32039316239316</v>
      </c>
      <c r="CA53" s="173">
        <f t="shared" ca="1" si="80"/>
        <v>25.16019658119658</v>
      </c>
      <c r="CB53" s="173">
        <f t="shared" ca="1" si="81"/>
        <v>25.16019658119658</v>
      </c>
      <c r="CC53" s="180"/>
      <c r="CD53" s="180"/>
      <c r="CE53" s="180"/>
      <c r="CF53" s="166">
        <f t="shared" ca="1" si="82"/>
        <v>33.910482943668555</v>
      </c>
      <c r="CG53" s="167">
        <f t="shared" ca="1" si="83"/>
        <v>16.955241471834277</v>
      </c>
      <c r="CH53" s="167">
        <f t="shared" ca="1" si="84"/>
        <v>16.955241471834277</v>
      </c>
      <c r="CI53" s="178"/>
      <c r="CJ53" s="178"/>
      <c r="CK53" s="178"/>
    </row>
    <row r="54" spans="2:89">
      <c r="B54" s="197">
        <v>24</v>
      </c>
      <c r="C54" s="197">
        <v>89.6</v>
      </c>
      <c r="D54" s="197">
        <v>73.400000000000006</v>
      </c>
      <c r="E54" s="198" t="s">
        <v>16</v>
      </c>
      <c r="F54" s="199">
        <v>27.15</v>
      </c>
      <c r="G54" s="200">
        <v>27.83</v>
      </c>
      <c r="H54" s="200">
        <v>27.89</v>
      </c>
      <c r="I54" s="200">
        <v>27.77</v>
      </c>
      <c r="J54" s="200">
        <v>28.09</v>
      </c>
      <c r="K54" s="200">
        <v>30.64</v>
      </c>
      <c r="L54" s="201">
        <v>32.93</v>
      </c>
      <c r="M54" s="201">
        <v>32.19</v>
      </c>
      <c r="N54" s="201">
        <v>31.19</v>
      </c>
      <c r="O54" s="201">
        <v>24.32</v>
      </c>
      <c r="P54" s="201">
        <v>24.61</v>
      </c>
      <c r="Q54" s="201">
        <v>21.56</v>
      </c>
      <c r="R54" s="152"/>
      <c r="S54" s="152"/>
      <c r="T54" s="152"/>
      <c r="U54" s="183"/>
      <c r="V54" s="152"/>
      <c r="W54" s="152"/>
      <c r="X54" s="152"/>
      <c r="Y54" s="152"/>
      <c r="AC54" s="164" t="s">
        <v>182</v>
      </c>
      <c r="AD54" s="164">
        <v>36</v>
      </c>
      <c r="AE54" s="165">
        <v>18</v>
      </c>
      <c r="AF54" s="165">
        <v>24</v>
      </c>
      <c r="AG54" s="165"/>
      <c r="AH54" s="164"/>
      <c r="AI54" s="164"/>
      <c r="AJ54" s="512"/>
      <c r="AK54" s="166">
        <f t="shared" ca="1" si="67"/>
        <v>40.956666666666656</v>
      </c>
      <c r="AL54" s="167">
        <f t="shared" ca="1" si="68"/>
        <v>17.552857142857139</v>
      </c>
      <c r="AM54" s="167">
        <f t="shared" ca="1" si="69"/>
        <v>23.403809523809517</v>
      </c>
      <c r="AN54" s="178"/>
      <c r="AO54" s="178"/>
      <c r="AP54" s="178"/>
      <c r="AQ54" s="169">
        <f t="shared" ca="1" si="70"/>
        <v>44.273333333333326</v>
      </c>
      <c r="AR54" s="170">
        <f ca="1">INDEX('Cap based on indoor unit SZ'!$J$6:$J$21,MATCH(AE54,'Cap based on indoor unit SZ'!$I$6:$I$21))</f>
        <v>19.821111111111112</v>
      </c>
      <c r="AS54" s="170">
        <f ca="1">INDEX('Cap based on indoor unit SZ'!$J$6:$J$21,MATCH(AF54,'Cap based on indoor unit SZ'!$I$6:$I$21))</f>
        <v>24.452222222222218</v>
      </c>
      <c r="AT54" s="179"/>
      <c r="AU54" s="179"/>
      <c r="AV54" s="179"/>
      <c r="AW54" s="169">
        <f t="shared" si="71"/>
        <v>40</v>
      </c>
      <c r="AX54" s="170">
        <v>17.5</v>
      </c>
      <c r="AY54" s="170">
        <v>22.5</v>
      </c>
      <c r="AZ54" s="179"/>
      <c r="BA54" s="179"/>
      <c r="BB54" s="179"/>
      <c r="BC54" s="172">
        <f t="shared" ca="1" si="72"/>
        <v>40.956666666666656</v>
      </c>
      <c r="BD54" s="173">
        <f t="shared" ca="1" si="73"/>
        <v>17.552857142857139</v>
      </c>
      <c r="BE54" s="173">
        <f t="shared" ca="1" si="74"/>
        <v>23.403809523809517</v>
      </c>
      <c r="BF54" s="180"/>
      <c r="BG54" s="180"/>
      <c r="BH54" s="180"/>
      <c r="BI54" s="166">
        <f t="shared" ca="1" si="75"/>
        <v>50.32039316239316</v>
      </c>
      <c r="BJ54" s="167">
        <f t="shared" ca="1" si="76"/>
        <v>21.565882783882785</v>
      </c>
      <c r="BK54" s="167">
        <f t="shared" ca="1" si="77"/>
        <v>28.754510378510378</v>
      </c>
      <c r="BL54" s="178"/>
      <c r="BM54" s="178"/>
      <c r="BN54" s="178"/>
      <c r="BO54" s="169">
        <f t="shared" ca="1" si="78"/>
        <v>54.888820512820516</v>
      </c>
      <c r="BP54" s="170">
        <f ca="1">INDEX('Cap based on indoor unit SZ'!$V$43:$V$58,MATCH(AE54,'Cap based on indoor unit SZ'!$U$43:$U$58))</f>
        <v>24.598820512820513</v>
      </c>
      <c r="BQ54" s="170">
        <f ca="1">INDEX('Cap based on indoor unit SZ'!$V$43:$V$58,MATCH(AF54,'Cap based on indoor unit SZ'!$U$43:$U$58))</f>
        <v>30.290000000000003</v>
      </c>
      <c r="BR54" s="179"/>
      <c r="BS54" s="179"/>
      <c r="BT54" s="179"/>
      <c r="BU54" s="175">
        <v>18000</v>
      </c>
      <c r="BV54" s="175">
        <v>23000</v>
      </c>
      <c r="BW54" s="179"/>
      <c r="BX54" s="179"/>
      <c r="BY54" s="179"/>
      <c r="BZ54" s="172">
        <f t="shared" ca="1" si="79"/>
        <v>50.32039316239316</v>
      </c>
      <c r="CA54" s="173">
        <f t="shared" ca="1" si="80"/>
        <v>21.565882783882785</v>
      </c>
      <c r="CB54" s="173">
        <f t="shared" ca="1" si="81"/>
        <v>28.754510378510378</v>
      </c>
      <c r="CC54" s="180"/>
      <c r="CD54" s="180"/>
      <c r="CE54" s="180"/>
      <c r="CF54" s="166">
        <f t="shared" ca="1" si="82"/>
        <v>35.034876164206686</v>
      </c>
      <c r="CG54" s="167">
        <f t="shared" ca="1" si="83"/>
        <v>15.014946927517153</v>
      </c>
      <c r="CH54" s="167">
        <f t="shared" ca="1" si="84"/>
        <v>20.019929236689535</v>
      </c>
      <c r="CI54" s="178"/>
      <c r="CJ54" s="178"/>
      <c r="CK54" s="178"/>
    </row>
    <row r="55" spans="2:89">
      <c r="B55" s="197">
        <v>30</v>
      </c>
      <c r="C55" s="197">
        <v>69.8</v>
      </c>
      <c r="D55" s="197">
        <v>59</v>
      </c>
      <c r="E55" s="198" t="s">
        <v>16</v>
      </c>
      <c r="F55" s="199">
        <v>27.4</v>
      </c>
      <c r="G55" s="200">
        <v>28.08</v>
      </c>
      <c r="H55" s="200">
        <v>28.2</v>
      </c>
      <c r="I55" s="200">
        <v>27.68</v>
      </c>
      <c r="J55" s="200">
        <v>27.43</v>
      </c>
      <c r="K55" s="200">
        <v>30.61</v>
      </c>
      <c r="L55" s="201">
        <v>31.57</v>
      </c>
      <c r="M55" s="201">
        <v>30.73</v>
      </c>
      <c r="N55" s="201">
        <v>29.86</v>
      </c>
      <c r="O55" s="201">
        <v>26.4</v>
      </c>
      <c r="P55" s="201">
        <v>26.18</v>
      </c>
      <c r="Q55" s="201">
        <v>23.12</v>
      </c>
      <c r="R55" s="152"/>
      <c r="S55" s="152"/>
      <c r="T55" s="152"/>
      <c r="U55" s="183"/>
      <c r="V55" s="152"/>
      <c r="W55" s="152"/>
      <c r="X55" s="152"/>
      <c r="Y55" s="152"/>
      <c r="AC55" s="164" t="s">
        <v>181</v>
      </c>
      <c r="AD55" s="164">
        <v>36</v>
      </c>
      <c r="AE55" s="165">
        <v>24</v>
      </c>
      <c r="AF55" s="165">
        <v>24</v>
      </c>
      <c r="AG55" s="165"/>
      <c r="AH55" s="164"/>
      <c r="AI55" s="164"/>
      <c r="AJ55" s="512"/>
      <c r="AK55" s="166">
        <f t="shared" ca="1" si="67"/>
        <v>40.956666666666656</v>
      </c>
      <c r="AL55" s="167">
        <f t="shared" ca="1" si="68"/>
        <v>20.478333333333328</v>
      </c>
      <c r="AM55" s="167">
        <f t="shared" ca="1" si="69"/>
        <v>20.478333333333328</v>
      </c>
      <c r="AN55" s="178"/>
      <c r="AO55" s="178"/>
      <c r="AP55" s="178"/>
      <c r="AQ55" s="169">
        <f t="shared" ca="1" si="70"/>
        <v>48.904444444444437</v>
      </c>
      <c r="AR55" s="170">
        <f ca="1">INDEX('Cap based on indoor unit SZ'!$J$6:$J$21,MATCH(AE55,'Cap based on indoor unit SZ'!$I$6:$I$21))</f>
        <v>24.452222222222218</v>
      </c>
      <c r="AS55" s="170">
        <f ca="1">INDEX('Cap based on indoor unit SZ'!$J$6:$J$21,MATCH(AF55,'Cap based on indoor unit SZ'!$I$6:$I$21))</f>
        <v>24.452222222222218</v>
      </c>
      <c r="AT55" s="179"/>
      <c r="AU55" s="179"/>
      <c r="AV55" s="179"/>
      <c r="AW55" s="169">
        <f t="shared" si="71"/>
        <v>42</v>
      </c>
      <c r="AX55" s="170">
        <v>21</v>
      </c>
      <c r="AY55" s="170">
        <v>21</v>
      </c>
      <c r="AZ55" s="179"/>
      <c r="BA55" s="179"/>
      <c r="BB55" s="179"/>
      <c r="BC55" s="172">
        <f t="shared" ca="1" si="72"/>
        <v>40.956666666666656</v>
      </c>
      <c r="BD55" s="173">
        <f t="shared" ca="1" si="73"/>
        <v>20.478333333333328</v>
      </c>
      <c r="BE55" s="173">
        <f t="shared" ca="1" si="74"/>
        <v>20.478333333333328</v>
      </c>
      <c r="BF55" s="180"/>
      <c r="BG55" s="180"/>
      <c r="BH55" s="180"/>
      <c r="BI55" s="166">
        <f t="shared" ca="1" si="75"/>
        <v>50.32039316239316</v>
      </c>
      <c r="BJ55" s="167">
        <f t="shared" ca="1" si="76"/>
        <v>25.16019658119658</v>
      </c>
      <c r="BK55" s="167">
        <f t="shared" ca="1" si="77"/>
        <v>25.16019658119658</v>
      </c>
      <c r="BL55" s="178"/>
      <c r="BM55" s="178"/>
      <c r="BN55" s="178"/>
      <c r="BO55" s="169">
        <f t="shared" ca="1" si="78"/>
        <v>60.580000000000005</v>
      </c>
      <c r="BP55" s="170">
        <f ca="1">INDEX('Cap based on indoor unit SZ'!$V$43:$V$58,MATCH(AE55,'Cap based on indoor unit SZ'!$U$43:$U$58))</f>
        <v>30.290000000000003</v>
      </c>
      <c r="BQ55" s="170">
        <f ca="1">INDEX('Cap based on indoor unit SZ'!$V$43:$V$58,MATCH(AF55,'Cap based on indoor unit SZ'!$U$43:$U$58))</f>
        <v>30.290000000000003</v>
      </c>
      <c r="BR55" s="179"/>
      <c r="BS55" s="179"/>
      <c r="BT55" s="179"/>
      <c r="BU55" s="175">
        <v>22000</v>
      </c>
      <c r="BV55" s="175">
        <v>22000</v>
      </c>
      <c r="BW55" s="179"/>
      <c r="BX55" s="179"/>
      <c r="BY55" s="179"/>
      <c r="BZ55" s="172">
        <f t="shared" ca="1" si="79"/>
        <v>50.32039316239316</v>
      </c>
      <c r="CA55" s="173">
        <f t="shared" ca="1" si="80"/>
        <v>25.16019658119658</v>
      </c>
      <c r="CB55" s="173">
        <f t="shared" ca="1" si="81"/>
        <v>25.16019658119658</v>
      </c>
      <c r="CC55" s="180"/>
      <c r="CD55" s="180"/>
      <c r="CE55" s="180"/>
      <c r="CF55" s="166">
        <f t="shared" ca="1" si="82"/>
        <v>35.034876164206686</v>
      </c>
      <c r="CG55" s="167">
        <f t="shared" ca="1" si="83"/>
        <v>17.517438082103343</v>
      </c>
      <c r="CH55" s="167">
        <f t="shared" ca="1" si="84"/>
        <v>17.517438082103343</v>
      </c>
      <c r="CI55" s="178"/>
      <c r="CJ55" s="178"/>
      <c r="CK55" s="178"/>
    </row>
    <row r="56" spans="2:89">
      <c r="B56" s="197">
        <v>30</v>
      </c>
      <c r="C56" s="197">
        <v>75.2</v>
      </c>
      <c r="D56" s="197">
        <v>62.6</v>
      </c>
      <c r="E56" s="198" t="s">
        <v>16</v>
      </c>
      <c r="F56" s="199">
        <v>28.23</v>
      </c>
      <c r="G56" s="200">
        <v>28.93</v>
      </c>
      <c r="H56" s="200">
        <v>29.04</v>
      </c>
      <c r="I56" s="200">
        <v>28.51</v>
      </c>
      <c r="J56" s="200">
        <v>28.25</v>
      </c>
      <c r="K56" s="200">
        <v>31.53</v>
      </c>
      <c r="L56" s="201">
        <v>33.93</v>
      </c>
      <c r="M56" s="201">
        <v>36.1</v>
      </c>
      <c r="N56" s="201">
        <v>35.15</v>
      </c>
      <c r="O56" s="201">
        <v>28.03</v>
      </c>
      <c r="P56" s="201">
        <v>27.25</v>
      </c>
      <c r="Q56" s="201">
        <v>24.83</v>
      </c>
      <c r="R56" s="152"/>
      <c r="S56" s="152"/>
      <c r="T56" s="152"/>
      <c r="U56" s="183"/>
      <c r="V56" s="152"/>
      <c r="W56" s="152"/>
      <c r="X56" s="152"/>
      <c r="Y56" s="152"/>
      <c r="AC56" s="164" t="s">
        <v>180</v>
      </c>
      <c r="AD56" s="164">
        <v>36</v>
      </c>
      <c r="AE56" s="165">
        <v>9</v>
      </c>
      <c r="AF56" s="165">
        <v>9</v>
      </c>
      <c r="AG56" s="165">
        <v>9</v>
      </c>
      <c r="AH56" s="164"/>
      <c r="AI56" s="164"/>
      <c r="AJ56" s="500">
        <v>3</v>
      </c>
      <c r="AK56" s="166">
        <f t="shared" ca="1" si="67"/>
        <v>31.389333333333333</v>
      </c>
      <c r="AL56" s="167">
        <f t="shared" ref="AL56:AL73" ca="1" si="85">IF((INDEX($AA$4:$AA$7,MATCH(INDOOR_1,$Z$4:$Z$7))*(INDEX($X$27:$X$46,MATCH($AD56,$W$27:$W$46,1))/(INDEX($AA$4:$AA$7,MATCH(INDOOR_1,$Z$4:$Z$7))+INDEX($AA$4:$AA$7,MATCH(INDOOR_2,$Z$4:$Z$7))+INDEX($AA$4:$AA$7,MATCH(INDOOR_3,$Z$4:$Z$7)))))
&gt;AR56,AR56,
(INDEX($AA$4:$AA$7,MATCH(INDOOR_1,$Z$4:$Z$7))*(INDEX($X$27:$X$46,MATCH($AD56,$W$27:$W$46,1))/(INDEX($AA$4:$AA$7,MATCH(INDOOR_1,$Z$4:$Z$7))+INDEX($AA$4:$AA$7,MATCH(INDOOR_2,$Z$4:$Z$7))+INDEX($AA$4:$AA$7,MATCH(INDOOR_3,$Z$4:$Z$7))))))</f>
        <v>10.463111111111111</v>
      </c>
      <c r="AM56" s="167">
        <f t="shared" ref="AM56:AM73" ca="1" si="86">IF((INDEX($AA$4:$AA$7,MATCH(INDOOR_2,$Z$4:$Z$7))*(INDEX($X$27:$X$46,MATCH($AD56,$W$27:$W$46,1))/(INDEX($AA$4:$AA$7,MATCH(INDOOR_1,$Z$4:$Z$7))+INDEX($AA$4:$AA$7,MATCH(INDOOR_2,$Z$4:$Z$7))+INDEX($AA$4:$AA$7,MATCH(INDOOR_3,$Z$4:$Z$7)))))
&gt;AS56,AS56,
(INDEX($AA$4:$AA$7,MATCH(INDOOR_2,$Z$4:$Z$7))*(INDEX($X$27:$X$46,MATCH($AD56,$W$27:$W$46,1))/(INDEX($AA$4:$AA$7,MATCH(INDOOR_1,$Z$4:$Z$7))+INDEX($AA$4:$AA$7,MATCH(INDOOR_2,$Z$4:$Z$7))+INDEX($AA$4:$AA$7,MATCH(INDOOR_3,$Z$4:$Z$7))))))</f>
        <v>10.463111111111111</v>
      </c>
      <c r="AN56" s="167">
        <f t="shared" ref="AN56:AN73" ca="1" si="87">IF((INDEX($AA$4:$AA$7,MATCH(INDOOR_3,$Z$4:$Z$7))*(INDEX($X$27:$X$46,MATCH($AD56,$W$27:$W$46,1))/(INDEX($AA$4:$AA$7,MATCH(INDOOR_1,$Z$4:$Z$7))+INDEX($AA$4:$AA$7,MATCH(INDOOR_2,$Z$4:$Z$7))+INDEX($AA$4:$AA$7,MATCH(INDOOR_3,$Z$4:$Z$7)))))
&gt;AT56,AT56,
(INDEX($AA$4:$AA$7,MATCH(INDOOR_3,$Z$4:$Z$7))*(INDEX($X$27:$X$46,MATCH($AD56,$W$27:$W$46,1))/(INDEX($AA$4:$AA$7,MATCH(INDOOR_1,$Z$4:$Z$7))+INDEX($AA$4:$AA$7,MATCH(INDOOR_2,$Z$4:$Z$7))+INDEX($AA$4:$AA$7,MATCH(INDOOR_3,$Z$4:$Z$7))))))</f>
        <v>10.463111111111111</v>
      </c>
      <c r="AO56" s="178"/>
      <c r="AP56" s="178"/>
      <c r="AQ56" s="169">
        <f t="shared" ca="1" si="70"/>
        <v>31.389333333333333</v>
      </c>
      <c r="AR56" s="170">
        <f ca="1">INDEX('Cap based on indoor unit SZ'!$J$6:$J$21,MATCH(AE56,'Cap based on indoor unit SZ'!$I$6:$I$21))</f>
        <v>10.463111111111111</v>
      </c>
      <c r="AS56" s="170">
        <f ca="1">INDEX('Cap based on indoor unit SZ'!$J$6:$J$21,MATCH(AF56,'Cap based on indoor unit SZ'!$I$6:$I$21))</f>
        <v>10.463111111111111</v>
      </c>
      <c r="AT56" s="170">
        <f ca="1">INDEX('Cap based on indoor unit SZ'!$J$6:$J$21,MATCH(AG56,'Cap based on indoor unit SZ'!$I$6:$I$21))</f>
        <v>10.463111111111111</v>
      </c>
      <c r="AU56" s="179"/>
      <c r="AV56" s="179"/>
      <c r="AW56" s="169">
        <f t="shared" si="71"/>
        <v>28.5</v>
      </c>
      <c r="AX56" s="170">
        <v>9.5</v>
      </c>
      <c r="AY56" s="170">
        <v>9.5</v>
      </c>
      <c r="AZ56" s="170">
        <v>9.5</v>
      </c>
      <c r="BA56" s="179"/>
      <c r="BB56" s="179"/>
      <c r="BC56" s="172">
        <f t="shared" ca="1" si="72"/>
        <v>40.956666666666656</v>
      </c>
      <c r="BD56" s="173">
        <f t="shared" ref="BD56:BD73" ca="1" si="88">(INDEX($AA$4:$AA$7,MATCH(AE56,$Z$4:$Z$7))*(INDEX($X$27:$X$46,MATCH($AD56,$W$27:$W$46,1))/(INDEX($AA$4:$AA$7,MATCH($AE56,$Z$4:$Z$7))+INDEX($AA$4:$AA$7,MATCH($AF56,$Z$4:$Z$7))+INDEX($AA$4:$AA$7,MATCH($AG56,$Z$4:$Z$7)))))</f>
        <v>13.652222222222219</v>
      </c>
      <c r="BE56" s="173">
        <f t="shared" ref="BE56:BE73" ca="1" si="89">(INDEX($AA$4:$AA$7,MATCH(AF56,$Z$4:$Z$7))*(INDEX($X$27:$X$46,MATCH($AD56,$W$27:$W$46,1))/(INDEX($AA$4:$AA$7,MATCH($AE56,$Z$4:$Z$7))+INDEX($AA$4:$AA$7,MATCH($AF56,$Z$4:$Z$7))+INDEX($AA$4:$AA$7,MATCH($AG56,$Z$4:$Z$7)))))</f>
        <v>13.652222222222219</v>
      </c>
      <c r="BF56" s="173">
        <f t="shared" ref="BF56:BF73" ca="1" si="90">(INDEX($AA$4:$AA$7,MATCH(AG56,$Z$4:$Z$7))*(INDEX($X$27:$X$46,MATCH($AD56,$W$27:$W$46,1))/(INDEX($AA$4:$AA$7,MATCH($AE56,$Z$4:$Z$7))+INDEX($AA$4:$AA$7,MATCH($AF56,$Z$4:$Z$7))+INDEX($AA$4:$AA$7,MATCH($AG56,$Z$4:$Z$7)))))</f>
        <v>13.652222222222219</v>
      </c>
      <c r="BG56" s="180"/>
      <c r="BH56" s="180"/>
      <c r="BI56" s="166">
        <f t="shared" ca="1" si="75"/>
        <v>35.868061538461532</v>
      </c>
      <c r="BJ56" s="167">
        <f t="shared" ref="BJ56:BJ73" ca="1" si="91">IF((INDEX($AA$4:$AA$7,MATCH(INDOOR_1,$Z$4:$Z$7))*(INDEX($X$118:$X$137,MATCH($AD56,$W$118:$W$137,1))/(INDEX($AA$4:$AA$7,MATCH(INDOOR_1,$Z$4:$Z$7))+INDEX($AA$4:$AA$7,MATCH(INDOOR_2,$Z$4:$Z$7))+INDEX($AA$4:$AA$7,MATCH(INDOOR_3,$Z$4:$Z$7)))))
&gt;BP56,BP56,
(INDEX($AA$4:$AA$7,MATCH(INDOOR_1,$Z$4:$Z$7))*(INDEX($X$118:$X$137,MATCH($AD56,$W$118:$W$137,1))/(INDEX($AA$4:$AA$7,MATCH(INDOOR_1,$Z$4:$Z$7))+INDEX($AA$4:$AA$7,MATCH(INDOOR_2,$Z$4:$Z$7))+INDEX($AA$4:$AA$7,MATCH(INDOOR_3,$Z$4:$Z$7))))))</f>
        <v>11.956020512820512</v>
      </c>
      <c r="BK56" s="167">
        <f t="shared" ref="BK56:BK73" ca="1" si="92">IF((INDEX($AA$4:$AA$7,MATCH(INDOOR_2,$Z$4:$Z$7))*(INDEX($X$118:$X$137,MATCH($AD56,$W$118:$W$137,1))/(INDEX($AA$4:$AA$7,MATCH(INDOOR_1,$Z$4:$Z$7))+INDEX($AA$4:$AA$7,MATCH(INDOOR_2,$Z$4:$Z$7))+INDEX($AA$4:$AA$7,MATCH(INDOOR_3,$Z$4:$Z$7)))))
&gt;BQ56,BQ56,
(INDEX($AA$4:$AA$7,MATCH(INDOOR_2,$Z$4:$Z$7))*(INDEX($X$118:$X$137,MATCH($AD56,$W$118:$W$137,1))/(INDEX($AA$4:$AA$7,MATCH(INDOOR_1,$Z$4:$Z$7))+INDEX($AA$4:$AA$7,MATCH(INDOOR_2,$Z$4:$Z$7))+INDEX($AA$4:$AA$7,MATCH(INDOOR_3,$Z$4:$Z$7))))))</f>
        <v>11.956020512820512</v>
      </c>
      <c r="BL56" s="167">
        <f t="shared" ref="BL56:BL73" ca="1" si="93">IF((INDEX($AA$4:$AA$7,MATCH(INDOOR_3,$Z$4:$Z$7))*(INDEX($X$118:$X$137,MATCH($AD56,$W$118:$W$137,1))/(INDEX($AA$4:$AA$7,MATCH(INDOOR_1,$Z$4:$Z$7))+INDEX($AA$4:$AA$7,MATCH(INDOOR_2,$Z$4:$Z$7))+INDEX($AA$4:$AA$7,MATCH(INDOOR_3,$Z$4:$Z$7)))))
&gt;BR56,BR56,
(INDEX($AA$4:$AA$7,MATCH(INDOOR_3,$Z$4:$Z$7))*(INDEX($X$118:$X$137,MATCH($AD56,$W$118:$W$137,1))/(INDEX($AA$4:$AA$7,MATCH(INDOOR_1,$Z$4:$Z$7))+INDEX($AA$4:$AA$7,MATCH(INDOOR_2,$Z$4:$Z$7))+INDEX($AA$4:$AA$7,MATCH(INDOOR_3,$Z$4:$Z$7))))))</f>
        <v>11.956020512820512</v>
      </c>
      <c r="BM56" s="178"/>
      <c r="BN56" s="178"/>
      <c r="BO56" s="169">
        <f t="shared" ca="1" si="78"/>
        <v>35.868061538461532</v>
      </c>
      <c r="BP56" s="170">
        <f ca="1">INDEX('Cap based on indoor unit SZ'!$V$43:$V$58,MATCH(AE56,'Cap based on indoor unit SZ'!$U$43:$U$58))</f>
        <v>11.956020512820512</v>
      </c>
      <c r="BQ56" s="170">
        <f ca="1">INDEX('Cap based on indoor unit SZ'!$V$43:$V$58,MATCH(AF56,'Cap based on indoor unit SZ'!$U$43:$U$58))</f>
        <v>11.956020512820512</v>
      </c>
      <c r="BR56" s="170">
        <f ca="1">INDEX('Cap based on indoor unit SZ'!$V$43:$V$58,MATCH(AG56,'Cap based on indoor unit SZ'!$U$43:$U$58))</f>
        <v>11.956020512820512</v>
      </c>
      <c r="BS56" s="179"/>
      <c r="BT56" s="179"/>
      <c r="BU56" s="175">
        <v>11000</v>
      </c>
      <c r="BV56" s="175">
        <v>11000</v>
      </c>
      <c r="BW56" s="175">
        <v>11000</v>
      </c>
      <c r="BX56" s="179"/>
      <c r="BY56" s="179"/>
      <c r="BZ56" s="172">
        <f t="shared" ca="1" si="79"/>
        <v>50.32039316239316</v>
      </c>
      <c r="CA56" s="173">
        <f t="shared" ref="CA56:CA73" ca="1" si="94">(INDEX($AA$4:$AA$7,MATCH(INDOOR_1,$Z$4:$Z$7))*(INDEX($X$118:$X$137,MATCH($AD56,$W$118:$W$137,1))/(INDEX($AA$4:$AA$7,MATCH(INDOOR_1,$Z$4:$Z$7))+INDEX($AA$4:$AA$7,MATCH(INDOOR_2,$Z$4:$Z$7))+INDEX($AA$4:$AA$7,MATCH(INDOOR_3,$Z$4:$Z$7)))))</f>
        <v>16.773464387464387</v>
      </c>
      <c r="CB56" s="173">
        <f t="shared" ref="CB56:CB73" ca="1" si="95">(INDEX($AA$4:$AA$7,MATCH(INDOOR_2,$Z$4:$Z$7))*(INDEX($X$118:$X$137,MATCH($AD56,$W$118:$W$137,1))/(INDEX($AA$4:$AA$7,MATCH(INDOOR_1,$Z$4:$Z$7))+INDEX($AA$4:$AA$7,MATCH(INDOOR_2,$Z$4:$Z$7))+INDEX($AA$4:$AA$7,MATCH(INDOOR_3,$Z$4:$Z$7)))))</f>
        <v>16.773464387464387</v>
      </c>
      <c r="CC56" s="173">
        <f t="shared" ref="CC56:CC73" ca="1" si="96">(INDEX($AA$4:$AA$7,MATCH(INDOOR_3,$Z$4:$Z$7))*(INDEX($X$118:$X$137,MATCH($AD56,$W$118:$W$137,1))/(INDEX($AA$4:$AA$7,MATCH(INDOOR_1,$Z$4:$Z$7))+INDEX($AA$4:$AA$7,MATCH(INDOOR_2,$Z$4:$Z$7))+INDEX($AA$4:$AA$7,MATCH(INDOOR_3,$Z$4:$Z$7)))))</f>
        <v>16.773464387464387</v>
      </c>
      <c r="CD56" s="180"/>
      <c r="CE56" s="180"/>
      <c r="CF56" s="166">
        <f t="shared" ca="1" si="82"/>
        <v>26.850852271758903</v>
      </c>
      <c r="CG56" s="167">
        <f t="shared" ca="1" si="83"/>
        <v>8.950284090586301</v>
      </c>
      <c r="CH56" s="167">
        <f t="shared" ca="1" si="84"/>
        <v>8.950284090586301</v>
      </c>
      <c r="CI56" s="167">
        <f t="shared" ref="CI56:CI91" ca="1" si="97">AN56*(INDEX($X$67:$X$86,MATCH($AD56,$W$67:$W$86,1)))</f>
        <v>8.950284090586301</v>
      </c>
      <c r="CJ56" s="178"/>
      <c r="CK56" s="178"/>
    </row>
    <row r="57" spans="2:89">
      <c r="B57" s="197">
        <v>30</v>
      </c>
      <c r="C57" s="197">
        <v>80.599999999999994</v>
      </c>
      <c r="D57" s="197">
        <v>66.2</v>
      </c>
      <c r="E57" s="198" t="s">
        <v>16</v>
      </c>
      <c r="F57" s="199">
        <v>28.79</v>
      </c>
      <c r="G57" s="200">
        <v>29.51</v>
      </c>
      <c r="H57" s="200">
        <v>29.76</v>
      </c>
      <c r="I57" s="200">
        <v>29.83</v>
      </c>
      <c r="J57" s="200">
        <v>29.47</v>
      </c>
      <c r="K57" s="200">
        <v>31.96</v>
      </c>
      <c r="L57" s="201">
        <v>32.299999999999997</v>
      </c>
      <c r="M57" s="201">
        <v>31.45</v>
      </c>
      <c r="N57" s="201">
        <v>30.57</v>
      </c>
      <c r="O57" s="201">
        <v>28.3</v>
      </c>
      <c r="P57" s="201">
        <v>30.18</v>
      </c>
      <c r="Q57" s="201">
        <v>27.25</v>
      </c>
      <c r="R57" s="152"/>
      <c r="S57" s="152"/>
      <c r="T57" s="152"/>
      <c r="U57" s="183"/>
      <c r="V57" s="152"/>
      <c r="W57" s="152"/>
      <c r="X57" s="152"/>
      <c r="Y57" s="152"/>
      <c r="AC57" s="164" t="s">
        <v>179</v>
      </c>
      <c r="AD57" s="164">
        <v>36</v>
      </c>
      <c r="AE57" s="165">
        <v>9</v>
      </c>
      <c r="AF57" s="165">
        <v>9</v>
      </c>
      <c r="AG57" s="165">
        <v>12</v>
      </c>
      <c r="AH57" s="164"/>
      <c r="AI57" s="164"/>
      <c r="AJ57" s="500"/>
      <c r="AK57" s="166">
        <f t="shared" ca="1" si="67"/>
        <v>34.005111111111113</v>
      </c>
      <c r="AL57" s="167">
        <f t="shared" ca="1" si="85"/>
        <v>10.463111111111111</v>
      </c>
      <c r="AM57" s="167">
        <f t="shared" ca="1" si="86"/>
        <v>10.463111111111111</v>
      </c>
      <c r="AN57" s="167">
        <f t="shared" ca="1" si="87"/>
        <v>13.078888888888891</v>
      </c>
      <c r="AO57" s="178"/>
      <c r="AP57" s="178"/>
      <c r="AQ57" s="169">
        <f t="shared" ca="1" si="70"/>
        <v>34.005111111111113</v>
      </c>
      <c r="AR57" s="170">
        <f ca="1">INDEX('Cap based on indoor unit SZ'!$J$6:$J$21,MATCH(AE57,'Cap based on indoor unit SZ'!$I$6:$I$21))</f>
        <v>10.463111111111111</v>
      </c>
      <c r="AS57" s="170">
        <f ca="1">INDEX('Cap based on indoor unit SZ'!$J$6:$J$21,MATCH(AF57,'Cap based on indoor unit SZ'!$I$6:$I$21))</f>
        <v>10.463111111111111</v>
      </c>
      <c r="AT57" s="170">
        <f ca="1">INDEX('Cap based on indoor unit SZ'!$J$6:$J$21,MATCH(AG57,'Cap based on indoor unit SZ'!$I$6:$I$21))</f>
        <v>13.078888888888891</v>
      </c>
      <c r="AU57" s="179"/>
      <c r="AV57" s="179"/>
      <c r="AW57" s="169">
        <f t="shared" si="71"/>
        <v>31</v>
      </c>
      <c r="AX57" s="170">
        <v>9.5</v>
      </c>
      <c r="AY57" s="170">
        <v>9.5</v>
      </c>
      <c r="AZ57" s="170">
        <v>12</v>
      </c>
      <c r="BA57" s="179"/>
      <c r="BB57" s="179"/>
      <c r="BC57" s="172">
        <f t="shared" ca="1" si="72"/>
        <v>40.956666666666656</v>
      </c>
      <c r="BD57" s="173">
        <f t="shared" ca="1" si="88"/>
        <v>12.286999999999997</v>
      </c>
      <c r="BE57" s="173">
        <f t="shared" ca="1" si="89"/>
        <v>12.286999999999997</v>
      </c>
      <c r="BF57" s="173">
        <f t="shared" ca="1" si="90"/>
        <v>16.382666666666662</v>
      </c>
      <c r="BG57" s="180"/>
      <c r="BH57" s="180"/>
      <c r="BI57" s="166">
        <f t="shared" ca="1" si="75"/>
        <v>38.857066666666668</v>
      </c>
      <c r="BJ57" s="167">
        <f t="shared" ca="1" si="91"/>
        <v>11.956020512820512</v>
      </c>
      <c r="BK57" s="167">
        <f t="shared" ca="1" si="92"/>
        <v>11.956020512820512</v>
      </c>
      <c r="BL57" s="167">
        <f t="shared" ca="1" si="93"/>
        <v>14.945025641025641</v>
      </c>
      <c r="BM57" s="178"/>
      <c r="BN57" s="178"/>
      <c r="BO57" s="169">
        <f t="shared" ca="1" si="78"/>
        <v>38.857066666666668</v>
      </c>
      <c r="BP57" s="170">
        <f ca="1">INDEX('Cap based on indoor unit SZ'!$V$43:$V$58,MATCH(AE57,'Cap based on indoor unit SZ'!$U$43:$U$58))</f>
        <v>11.956020512820512</v>
      </c>
      <c r="BQ57" s="170">
        <f ca="1">INDEX('Cap based on indoor unit SZ'!$V$43:$V$58,MATCH(AF57,'Cap based on indoor unit SZ'!$U$43:$U$58))</f>
        <v>11.956020512820512</v>
      </c>
      <c r="BR57" s="170">
        <f ca="1">INDEX('Cap based on indoor unit SZ'!$V$43:$V$58,MATCH(AG57,'Cap based on indoor unit SZ'!$U$43:$U$58))</f>
        <v>14.945025641025641</v>
      </c>
      <c r="BS57" s="179"/>
      <c r="BT57" s="179"/>
      <c r="BU57" s="175">
        <v>10500</v>
      </c>
      <c r="BV57" s="175">
        <v>10500</v>
      </c>
      <c r="BW57" s="175">
        <v>13000</v>
      </c>
      <c r="BX57" s="179"/>
      <c r="BY57" s="179"/>
      <c r="BZ57" s="172">
        <f t="shared" ca="1" si="79"/>
        <v>50.320393162393167</v>
      </c>
      <c r="CA57" s="173">
        <f t="shared" ca="1" si="94"/>
        <v>15.09611794871795</v>
      </c>
      <c r="CB57" s="173">
        <f t="shared" ca="1" si="95"/>
        <v>15.09611794871795</v>
      </c>
      <c r="CC57" s="173">
        <f t="shared" ca="1" si="96"/>
        <v>20.128157264957267</v>
      </c>
      <c r="CD57" s="180"/>
      <c r="CE57" s="180"/>
      <c r="CF57" s="166">
        <f t="shared" ca="1" si="82"/>
        <v>29.08842329440548</v>
      </c>
      <c r="CG57" s="167">
        <f t="shared" ca="1" si="83"/>
        <v>8.950284090586301</v>
      </c>
      <c r="CH57" s="167">
        <f t="shared" ca="1" si="84"/>
        <v>8.950284090586301</v>
      </c>
      <c r="CI57" s="167">
        <f t="shared" ca="1" si="97"/>
        <v>11.187855113232878</v>
      </c>
      <c r="CJ57" s="178"/>
      <c r="CK57" s="178"/>
    </row>
    <row r="58" spans="2:89">
      <c r="B58" s="197">
        <v>30</v>
      </c>
      <c r="C58" s="197">
        <v>89.6</v>
      </c>
      <c r="D58" s="197">
        <v>73.400000000000006</v>
      </c>
      <c r="E58" s="198" t="s">
        <v>16</v>
      </c>
      <c r="F58" s="199">
        <v>31.1</v>
      </c>
      <c r="G58" s="200">
        <v>31.87</v>
      </c>
      <c r="H58" s="200">
        <v>32.14</v>
      </c>
      <c r="I58" s="200">
        <v>32.21</v>
      </c>
      <c r="J58" s="200">
        <v>31.83</v>
      </c>
      <c r="K58" s="200">
        <v>34.51</v>
      </c>
      <c r="L58" s="201">
        <v>37.56</v>
      </c>
      <c r="M58" s="201">
        <v>38.61</v>
      </c>
      <c r="N58" s="201">
        <v>37.729999999999997</v>
      </c>
      <c r="O58" s="201">
        <v>31.96</v>
      </c>
      <c r="P58" s="201">
        <v>31.26</v>
      </c>
      <c r="Q58" s="201">
        <v>29.73</v>
      </c>
      <c r="R58" s="152"/>
      <c r="S58" s="152"/>
      <c r="T58" s="152"/>
      <c r="U58" s="183"/>
      <c r="V58" s="152"/>
      <c r="W58" s="152"/>
      <c r="X58" s="152"/>
      <c r="Y58" s="152"/>
      <c r="AC58" s="164" t="s">
        <v>178</v>
      </c>
      <c r="AD58" s="164">
        <v>36</v>
      </c>
      <c r="AE58" s="165">
        <v>9</v>
      </c>
      <c r="AF58" s="165">
        <v>9</v>
      </c>
      <c r="AG58" s="165">
        <v>18</v>
      </c>
      <c r="AH58" s="164"/>
      <c r="AI58" s="164"/>
      <c r="AJ58" s="500"/>
      <c r="AK58" s="166">
        <f t="shared" ca="1" si="67"/>
        <v>40.29944444444444</v>
      </c>
      <c r="AL58" s="167">
        <f t="shared" ca="1" si="85"/>
        <v>10.239166666666664</v>
      </c>
      <c r="AM58" s="167">
        <f t="shared" ca="1" si="86"/>
        <v>10.239166666666664</v>
      </c>
      <c r="AN58" s="167">
        <f t="shared" ca="1" si="87"/>
        <v>19.821111111111112</v>
      </c>
      <c r="AO58" s="178"/>
      <c r="AP58" s="178"/>
      <c r="AQ58" s="169">
        <f t="shared" ca="1" si="70"/>
        <v>40.74733333333333</v>
      </c>
      <c r="AR58" s="170">
        <f ca="1">INDEX('Cap based on indoor unit SZ'!$J$6:$J$21,MATCH(AE58,'Cap based on indoor unit SZ'!$I$6:$I$21))</f>
        <v>10.463111111111111</v>
      </c>
      <c r="AS58" s="170">
        <f ca="1">INDEX('Cap based on indoor unit SZ'!$J$6:$J$21,MATCH(AF58,'Cap based on indoor unit SZ'!$I$6:$I$21))</f>
        <v>10.463111111111111</v>
      </c>
      <c r="AT58" s="170">
        <f ca="1">INDEX('Cap based on indoor unit SZ'!$J$6:$J$21,MATCH(AG58,'Cap based on indoor unit SZ'!$I$6:$I$21))</f>
        <v>19.821111111111112</v>
      </c>
      <c r="AU58" s="179"/>
      <c r="AV58" s="179"/>
      <c r="AW58" s="169">
        <f t="shared" si="71"/>
        <v>37</v>
      </c>
      <c r="AX58" s="170">
        <v>9.5</v>
      </c>
      <c r="AY58" s="170">
        <v>9.5</v>
      </c>
      <c r="AZ58" s="170">
        <v>18</v>
      </c>
      <c r="BA58" s="179"/>
      <c r="BB58" s="179"/>
      <c r="BC58" s="172">
        <f t="shared" ca="1" si="72"/>
        <v>40.956666666666656</v>
      </c>
      <c r="BD58" s="173">
        <f t="shared" ca="1" si="88"/>
        <v>10.239166666666664</v>
      </c>
      <c r="BE58" s="173">
        <f t="shared" ca="1" si="89"/>
        <v>10.239166666666664</v>
      </c>
      <c r="BF58" s="173">
        <f t="shared" ca="1" si="90"/>
        <v>20.478333333333328</v>
      </c>
      <c r="BG58" s="180"/>
      <c r="BH58" s="180"/>
      <c r="BI58" s="166">
        <f t="shared" ca="1" si="75"/>
        <v>48.51086153846154</v>
      </c>
      <c r="BJ58" s="167">
        <f t="shared" ca="1" si="91"/>
        <v>11.956020512820512</v>
      </c>
      <c r="BK58" s="167">
        <f t="shared" ca="1" si="92"/>
        <v>11.956020512820512</v>
      </c>
      <c r="BL58" s="167">
        <f t="shared" ca="1" si="93"/>
        <v>24.598820512820513</v>
      </c>
      <c r="BM58" s="178"/>
      <c r="BN58" s="178"/>
      <c r="BO58" s="169">
        <f t="shared" ca="1" si="78"/>
        <v>48.51086153846154</v>
      </c>
      <c r="BP58" s="170">
        <f ca="1">INDEX('Cap based on indoor unit SZ'!$V$43:$V$58,MATCH(AE58,'Cap based on indoor unit SZ'!$U$43:$U$58))</f>
        <v>11.956020512820512</v>
      </c>
      <c r="BQ58" s="170">
        <f ca="1">INDEX('Cap based on indoor unit SZ'!$V$43:$V$58,MATCH(AF58,'Cap based on indoor unit SZ'!$U$43:$U$58))</f>
        <v>11.956020512820512</v>
      </c>
      <c r="BR58" s="170">
        <f ca="1">INDEX('Cap based on indoor unit SZ'!$V$43:$V$58,MATCH(AG58,'Cap based on indoor unit SZ'!$U$43:$U$58))</f>
        <v>24.598820512820513</v>
      </c>
      <c r="BS58" s="179"/>
      <c r="BT58" s="179"/>
      <c r="BU58" s="175">
        <v>10000</v>
      </c>
      <c r="BV58" s="175">
        <v>10000</v>
      </c>
      <c r="BW58" s="175">
        <v>19000</v>
      </c>
      <c r="BX58" s="179"/>
      <c r="BY58" s="179"/>
      <c r="BZ58" s="172">
        <f t="shared" ca="1" si="79"/>
        <v>50.32039316239316</v>
      </c>
      <c r="CA58" s="173">
        <f t="shared" ca="1" si="94"/>
        <v>12.58009829059829</v>
      </c>
      <c r="CB58" s="173">
        <f t="shared" ca="1" si="95"/>
        <v>12.58009829059829</v>
      </c>
      <c r="CC58" s="173">
        <f t="shared" ca="1" si="96"/>
        <v>25.16019658119658</v>
      </c>
      <c r="CD58" s="180"/>
      <c r="CE58" s="180"/>
      <c r="CF58" s="166">
        <f t="shared" ca="1" si="82"/>
        <v>34.472679553937624</v>
      </c>
      <c r="CG58" s="167">
        <f t="shared" ca="1" si="83"/>
        <v>8.7587190410516715</v>
      </c>
      <c r="CH58" s="167">
        <f t="shared" ca="1" si="84"/>
        <v>8.7587190410516715</v>
      </c>
      <c r="CI58" s="167">
        <f t="shared" ca="1" si="97"/>
        <v>16.955241471834277</v>
      </c>
      <c r="CJ58" s="178"/>
      <c r="CK58" s="178"/>
    </row>
    <row r="59" spans="2:89">
      <c r="B59" s="197">
        <v>36</v>
      </c>
      <c r="C59" s="197">
        <v>69.8</v>
      </c>
      <c r="D59" s="197">
        <v>59</v>
      </c>
      <c r="E59" s="198" t="s">
        <v>16</v>
      </c>
      <c r="F59" s="199">
        <v>26.47</v>
      </c>
      <c r="G59" s="200">
        <v>27.13</v>
      </c>
      <c r="H59" s="200">
        <v>26.82</v>
      </c>
      <c r="I59" s="200">
        <v>27.31</v>
      </c>
      <c r="J59" s="200">
        <v>28.38</v>
      </c>
      <c r="K59" s="200">
        <v>30.33</v>
      </c>
      <c r="L59" s="201">
        <v>31.91</v>
      </c>
      <c r="M59" s="201">
        <v>30.25</v>
      </c>
      <c r="N59" s="201">
        <v>28.88</v>
      </c>
      <c r="O59" s="201">
        <v>24.5</v>
      </c>
      <c r="P59" s="201">
        <v>23.55</v>
      </c>
      <c r="Q59" s="201">
        <v>22.4</v>
      </c>
      <c r="R59" s="152"/>
      <c r="S59" s="152"/>
      <c r="T59" s="152"/>
      <c r="U59" s="183"/>
      <c r="V59" s="152"/>
      <c r="W59" s="152"/>
      <c r="X59" s="152"/>
      <c r="Y59" s="152"/>
      <c r="AC59" s="164" t="s">
        <v>177</v>
      </c>
      <c r="AD59" s="164">
        <v>36</v>
      </c>
      <c r="AE59" s="165">
        <v>9</v>
      </c>
      <c r="AF59" s="165">
        <v>9</v>
      </c>
      <c r="AG59" s="165">
        <v>24</v>
      </c>
      <c r="AH59" s="164"/>
      <c r="AI59" s="164"/>
      <c r="AJ59" s="501"/>
      <c r="AK59" s="166">
        <f t="shared" ca="1" si="67"/>
        <v>40.956666666666656</v>
      </c>
      <c r="AL59" s="167">
        <f t="shared" ca="1" si="85"/>
        <v>8.7764285714285695</v>
      </c>
      <c r="AM59" s="167">
        <f t="shared" ca="1" si="86"/>
        <v>8.7764285714285695</v>
      </c>
      <c r="AN59" s="167">
        <f t="shared" ca="1" si="87"/>
        <v>23.403809523809517</v>
      </c>
      <c r="AO59" s="178"/>
      <c r="AP59" s="178"/>
      <c r="AQ59" s="169">
        <f t="shared" ca="1" si="70"/>
        <v>45.37844444444444</v>
      </c>
      <c r="AR59" s="170">
        <f ca="1">INDEX('Cap based on indoor unit SZ'!$J$6:$J$21,MATCH(AE59,'Cap based on indoor unit SZ'!$I$6:$I$21))</f>
        <v>10.463111111111111</v>
      </c>
      <c r="AS59" s="170">
        <f ca="1">INDEX('Cap based on indoor unit SZ'!$J$6:$J$21,MATCH(AF59,'Cap based on indoor unit SZ'!$I$6:$I$21))</f>
        <v>10.463111111111111</v>
      </c>
      <c r="AT59" s="170">
        <f ca="1">INDEX('Cap based on indoor unit SZ'!$J$6:$J$21,MATCH(AG59,'Cap based on indoor unit SZ'!$I$6:$I$21))</f>
        <v>24.452222222222218</v>
      </c>
      <c r="AU59" s="179"/>
      <c r="AV59" s="179"/>
      <c r="AW59" s="169">
        <f t="shared" si="71"/>
        <v>40.5</v>
      </c>
      <c r="AX59" s="170">
        <v>9</v>
      </c>
      <c r="AY59" s="170">
        <v>9</v>
      </c>
      <c r="AZ59" s="170">
        <v>22.5</v>
      </c>
      <c r="BA59" s="179"/>
      <c r="BB59" s="179"/>
      <c r="BC59" s="172">
        <f t="shared" ca="1" si="72"/>
        <v>40.956666666666656</v>
      </c>
      <c r="BD59" s="173">
        <f t="shared" ca="1" si="88"/>
        <v>8.7764285714285695</v>
      </c>
      <c r="BE59" s="173">
        <f t="shared" ca="1" si="89"/>
        <v>8.7764285714285695</v>
      </c>
      <c r="BF59" s="173">
        <f t="shared" ca="1" si="90"/>
        <v>23.403809523809517</v>
      </c>
      <c r="BG59" s="180"/>
      <c r="BH59" s="180"/>
      <c r="BI59" s="166">
        <f t="shared" ca="1" si="75"/>
        <v>50.32039316239316</v>
      </c>
      <c r="BJ59" s="167">
        <f t="shared" ca="1" si="91"/>
        <v>10.782941391941392</v>
      </c>
      <c r="BK59" s="167">
        <f t="shared" ca="1" si="92"/>
        <v>10.782941391941392</v>
      </c>
      <c r="BL59" s="167">
        <f t="shared" ca="1" si="93"/>
        <v>28.754510378510378</v>
      </c>
      <c r="BM59" s="178"/>
      <c r="BN59" s="178"/>
      <c r="BO59" s="169">
        <f t="shared" ca="1" si="78"/>
        <v>54.202041025641023</v>
      </c>
      <c r="BP59" s="170">
        <f ca="1">INDEX('Cap based on indoor unit SZ'!$V$43:$V$58,MATCH(AE59,'Cap based on indoor unit SZ'!$U$43:$U$58))</f>
        <v>11.956020512820512</v>
      </c>
      <c r="BQ59" s="170">
        <f ca="1">INDEX('Cap based on indoor unit SZ'!$V$43:$V$58,MATCH(AF59,'Cap based on indoor unit SZ'!$U$43:$U$58))</f>
        <v>11.956020512820512</v>
      </c>
      <c r="BR59" s="170">
        <f ca="1">INDEX('Cap based on indoor unit SZ'!$V$43:$V$58,MATCH(AG59,'Cap based on indoor unit SZ'!$U$43:$U$58))</f>
        <v>30.290000000000003</v>
      </c>
      <c r="BS59" s="179"/>
      <c r="BT59" s="179"/>
      <c r="BU59" s="175">
        <v>9500</v>
      </c>
      <c r="BV59" s="175">
        <v>9500</v>
      </c>
      <c r="BW59" s="175">
        <v>23500</v>
      </c>
      <c r="BX59" s="179"/>
      <c r="BY59" s="179"/>
      <c r="BZ59" s="172">
        <f t="shared" ca="1" si="79"/>
        <v>50.32039316239316</v>
      </c>
      <c r="CA59" s="173">
        <f t="shared" ca="1" si="94"/>
        <v>10.782941391941392</v>
      </c>
      <c r="CB59" s="173">
        <f t="shared" ca="1" si="95"/>
        <v>10.782941391941392</v>
      </c>
      <c r="CC59" s="173">
        <f t="shared" ca="1" si="96"/>
        <v>28.754510378510378</v>
      </c>
      <c r="CD59" s="180"/>
      <c r="CE59" s="180"/>
      <c r="CF59" s="166">
        <f t="shared" ca="1" si="82"/>
        <v>35.034876164206686</v>
      </c>
      <c r="CG59" s="167">
        <f t="shared" ca="1" si="83"/>
        <v>7.5074734637585765</v>
      </c>
      <c r="CH59" s="167">
        <f t="shared" ca="1" si="84"/>
        <v>7.5074734637585765</v>
      </c>
      <c r="CI59" s="167">
        <f t="shared" ca="1" si="97"/>
        <v>20.019929236689535</v>
      </c>
      <c r="CJ59" s="178"/>
      <c r="CK59" s="178"/>
    </row>
    <row r="60" spans="2:89">
      <c r="B60" s="197">
        <v>36</v>
      </c>
      <c r="C60" s="197">
        <v>75.2</v>
      </c>
      <c r="D60" s="197">
        <v>62.6</v>
      </c>
      <c r="E60" s="198" t="s">
        <v>16</v>
      </c>
      <c r="F60" s="199">
        <v>27.27</v>
      </c>
      <c r="G60" s="200">
        <v>27.95</v>
      </c>
      <c r="H60" s="200">
        <v>27.63</v>
      </c>
      <c r="I60" s="200">
        <v>28.13</v>
      </c>
      <c r="J60" s="200">
        <v>28.42</v>
      </c>
      <c r="K60" s="200">
        <v>31.24</v>
      </c>
      <c r="L60" s="201">
        <v>34.880000000000003</v>
      </c>
      <c r="M60" s="201">
        <v>35.06</v>
      </c>
      <c r="N60" s="201">
        <v>33.020000000000003</v>
      </c>
      <c r="O60" s="201">
        <v>27.67</v>
      </c>
      <c r="P60" s="201">
        <v>26.26</v>
      </c>
      <c r="Q60" s="201">
        <v>24.69</v>
      </c>
      <c r="R60" s="152"/>
      <c r="S60" s="152"/>
      <c r="T60" s="152"/>
      <c r="U60" s="183"/>
      <c r="V60" s="152"/>
      <c r="W60" s="152"/>
      <c r="X60" s="152"/>
      <c r="Y60" s="152"/>
      <c r="AC60" s="164" t="s">
        <v>176</v>
      </c>
      <c r="AD60" s="164">
        <v>36</v>
      </c>
      <c r="AE60" s="165">
        <v>9</v>
      </c>
      <c r="AF60" s="165">
        <v>12</v>
      </c>
      <c r="AG60" s="165">
        <v>12</v>
      </c>
      <c r="AH60" s="164"/>
      <c r="AI60" s="164"/>
      <c r="AJ60" s="501"/>
      <c r="AK60" s="166">
        <f t="shared" ca="1" si="67"/>
        <v>36.620888888888892</v>
      </c>
      <c r="AL60" s="167">
        <f t="shared" ca="1" si="85"/>
        <v>10.463111111111111</v>
      </c>
      <c r="AM60" s="167">
        <f t="shared" ca="1" si="86"/>
        <v>13.078888888888891</v>
      </c>
      <c r="AN60" s="167">
        <f t="shared" ca="1" si="87"/>
        <v>13.078888888888891</v>
      </c>
      <c r="AO60" s="178"/>
      <c r="AP60" s="178"/>
      <c r="AQ60" s="169">
        <f t="shared" ca="1" si="70"/>
        <v>36.620888888888892</v>
      </c>
      <c r="AR60" s="170">
        <f ca="1">INDEX('Cap based on indoor unit SZ'!$J$6:$J$21,MATCH(AE60,'Cap based on indoor unit SZ'!$I$6:$I$21))</f>
        <v>10.463111111111111</v>
      </c>
      <c r="AS60" s="170">
        <f ca="1">INDEX('Cap based on indoor unit SZ'!$J$6:$J$21,MATCH(AF60,'Cap based on indoor unit SZ'!$I$6:$I$21))</f>
        <v>13.078888888888891</v>
      </c>
      <c r="AT60" s="170">
        <f ca="1">INDEX('Cap based on indoor unit SZ'!$J$6:$J$21,MATCH(AG60,'Cap based on indoor unit SZ'!$I$6:$I$21))</f>
        <v>13.078888888888891</v>
      </c>
      <c r="AU60" s="179"/>
      <c r="AV60" s="179"/>
      <c r="AW60" s="169">
        <f t="shared" si="71"/>
        <v>34.5</v>
      </c>
      <c r="AX60" s="170">
        <v>9.5</v>
      </c>
      <c r="AY60" s="170">
        <v>12.5</v>
      </c>
      <c r="AZ60" s="170">
        <v>12.5</v>
      </c>
      <c r="BA60" s="179"/>
      <c r="BB60" s="179"/>
      <c r="BC60" s="172">
        <f t="shared" ca="1" si="72"/>
        <v>40.956666666666663</v>
      </c>
      <c r="BD60" s="173">
        <f t="shared" ca="1" si="88"/>
        <v>11.169999999999998</v>
      </c>
      <c r="BE60" s="173">
        <f t="shared" ca="1" si="89"/>
        <v>14.893333333333331</v>
      </c>
      <c r="BF60" s="173">
        <f t="shared" ca="1" si="90"/>
        <v>14.893333333333331</v>
      </c>
      <c r="BG60" s="180"/>
      <c r="BH60" s="180"/>
      <c r="BI60" s="166">
        <f t="shared" ca="1" si="75"/>
        <v>41.84607179487179</v>
      </c>
      <c r="BJ60" s="167">
        <f t="shared" ca="1" si="91"/>
        <v>11.956020512820512</v>
      </c>
      <c r="BK60" s="167">
        <f t="shared" ca="1" si="92"/>
        <v>14.945025641025641</v>
      </c>
      <c r="BL60" s="167">
        <f t="shared" ca="1" si="93"/>
        <v>14.945025641025641</v>
      </c>
      <c r="BM60" s="178"/>
      <c r="BN60" s="178"/>
      <c r="BO60" s="169">
        <f t="shared" ca="1" si="78"/>
        <v>41.84607179487179</v>
      </c>
      <c r="BP60" s="170">
        <f ca="1">INDEX('Cap based on indoor unit SZ'!$V$43:$V$58,MATCH(AE60,'Cap based on indoor unit SZ'!$U$43:$U$58))</f>
        <v>11.956020512820512</v>
      </c>
      <c r="BQ60" s="170">
        <f ca="1">INDEX('Cap based on indoor unit SZ'!$V$43:$V$58,MATCH(AF60,'Cap based on indoor unit SZ'!$U$43:$U$58))</f>
        <v>14.945025641025641</v>
      </c>
      <c r="BR60" s="170">
        <f ca="1">INDEX('Cap based on indoor unit SZ'!$V$43:$V$58,MATCH(AG60,'Cap based on indoor unit SZ'!$U$43:$U$58))</f>
        <v>14.945025641025641</v>
      </c>
      <c r="BS60" s="179"/>
      <c r="BT60" s="179"/>
      <c r="BU60" s="175">
        <v>10000</v>
      </c>
      <c r="BV60" s="175">
        <v>12500</v>
      </c>
      <c r="BW60" s="175">
        <v>12500</v>
      </c>
      <c r="BX60" s="179"/>
      <c r="BY60" s="179"/>
      <c r="BZ60" s="172">
        <f t="shared" ca="1" si="79"/>
        <v>50.32039316239316</v>
      </c>
      <c r="CA60" s="173">
        <f t="shared" ca="1" si="94"/>
        <v>13.723743589743592</v>
      </c>
      <c r="CB60" s="173">
        <f t="shared" ca="1" si="95"/>
        <v>18.298324786324788</v>
      </c>
      <c r="CC60" s="173">
        <f t="shared" ca="1" si="96"/>
        <v>18.298324786324788</v>
      </c>
      <c r="CD60" s="180"/>
      <c r="CE60" s="180"/>
      <c r="CF60" s="166">
        <f t="shared" ca="1" si="82"/>
        <v>31.325994317052057</v>
      </c>
      <c r="CG60" s="167">
        <f t="shared" ca="1" si="83"/>
        <v>8.950284090586301</v>
      </c>
      <c r="CH60" s="167">
        <f t="shared" ca="1" si="84"/>
        <v>11.187855113232878</v>
      </c>
      <c r="CI60" s="167">
        <f t="shared" ca="1" si="97"/>
        <v>11.187855113232878</v>
      </c>
      <c r="CJ60" s="178"/>
      <c r="CK60" s="178"/>
    </row>
    <row r="61" spans="2:89">
      <c r="B61" s="197">
        <v>36</v>
      </c>
      <c r="C61" s="197">
        <v>80.599999999999994</v>
      </c>
      <c r="D61" s="197">
        <v>66.2</v>
      </c>
      <c r="E61" s="198" t="s">
        <v>16</v>
      </c>
      <c r="F61" s="199">
        <v>29.81</v>
      </c>
      <c r="G61" s="200">
        <v>30.55</v>
      </c>
      <c r="H61" s="200">
        <v>30.32</v>
      </c>
      <c r="I61" s="200">
        <v>30.91</v>
      </c>
      <c r="J61" s="200">
        <v>31.18</v>
      </c>
      <c r="K61" s="200">
        <v>33.770000000000003</v>
      </c>
      <c r="L61" s="201">
        <v>35.83</v>
      </c>
      <c r="M61" s="201">
        <v>34.99</v>
      </c>
      <c r="N61" s="201">
        <v>35.26</v>
      </c>
      <c r="O61" s="201">
        <v>31</v>
      </c>
      <c r="P61" s="201">
        <v>30.33</v>
      </c>
      <c r="Q61" s="201">
        <v>26.62</v>
      </c>
      <c r="R61" s="152"/>
      <c r="S61" s="152"/>
      <c r="T61" s="152"/>
      <c r="U61" s="183"/>
      <c r="V61" s="152"/>
      <c r="W61" s="152"/>
      <c r="X61" s="152"/>
      <c r="Y61" s="152"/>
      <c r="AC61" s="164" t="s">
        <v>175</v>
      </c>
      <c r="AD61" s="164">
        <v>36</v>
      </c>
      <c r="AE61" s="165">
        <v>9</v>
      </c>
      <c r="AF61" s="165">
        <v>12</v>
      </c>
      <c r="AG61" s="165">
        <v>18</v>
      </c>
      <c r="AH61" s="164"/>
      <c r="AI61" s="164"/>
      <c r="AJ61" s="501"/>
      <c r="AK61" s="166">
        <f t="shared" ca="1" si="67"/>
        <v>40.956666666666663</v>
      </c>
      <c r="AL61" s="167">
        <f t="shared" ca="1" si="85"/>
        <v>9.4515384615384601</v>
      </c>
      <c r="AM61" s="167">
        <f t="shared" ca="1" si="86"/>
        <v>12.60205128205128</v>
      </c>
      <c r="AN61" s="167">
        <f t="shared" ca="1" si="87"/>
        <v>18.90307692307692</v>
      </c>
      <c r="AO61" s="178"/>
      <c r="AP61" s="178"/>
      <c r="AQ61" s="169">
        <f t="shared" ca="1" si="70"/>
        <v>43.36311111111111</v>
      </c>
      <c r="AR61" s="170">
        <f ca="1">INDEX('Cap based on indoor unit SZ'!$J$6:$J$21,MATCH(AE61,'Cap based on indoor unit SZ'!$I$6:$I$21))</f>
        <v>10.463111111111111</v>
      </c>
      <c r="AS61" s="170">
        <f ca="1">INDEX('Cap based on indoor unit SZ'!$J$6:$J$21,MATCH(AF61,'Cap based on indoor unit SZ'!$I$6:$I$21))</f>
        <v>13.078888888888891</v>
      </c>
      <c r="AT61" s="170">
        <f ca="1">INDEX('Cap based on indoor unit SZ'!$J$6:$J$21,MATCH(AG61,'Cap based on indoor unit SZ'!$I$6:$I$21))</f>
        <v>19.821111111111112</v>
      </c>
      <c r="AU61" s="179"/>
      <c r="AV61" s="179"/>
      <c r="AW61" s="169">
        <f t="shared" si="71"/>
        <v>39</v>
      </c>
      <c r="AX61" s="170">
        <v>9</v>
      </c>
      <c r="AY61" s="170">
        <v>12</v>
      </c>
      <c r="AZ61" s="170">
        <v>18</v>
      </c>
      <c r="BA61" s="179"/>
      <c r="BB61" s="179"/>
      <c r="BC61" s="172">
        <f t="shared" ca="1" si="72"/>
        <v>40.956666666666663</v>
      </c>
      <c r="BD61" s="173">
        <f t="shared" ca="1" si="88"/>
        <v>9.4515384615384601</v>
      </c>
      <c r="BE61" s="173">
        <f t="shared" ca="1" si="89"/>
        <v>12.60205128205128</v>
      </c>
      <c r="BF61" s="173">
        <f t="shared" ca="1" si="90"/>
        <v>18.90307692307692</v>
      </c>
      <c r="BG61" s="180"/>
      <c r="BH61" s="180"/>
      <c r="BI61" s="166">
        <f t="shared" ca="1" si="75"/>
        <v>49.782220907297827</v>
      </c>
      <c r="BJ61" s="167">
        <f t="shared" ca="1" si="91"/>
        <v>11.612398422090729</v>
      </c>
      <c r="BK61" s="167">
        <f t="shared" ca="1" si="92"/>
        <v>14.945025641025641</v>
      </c>
      <c r="BL61" s="167">
        <f t="shared" ca="1" si="93"/>
        <v>23.224796844181459</v>
      </c>
      <c r="BM61" s="178"/>
      <c r="BN61" s="178"/>
      <c r="BO61" s="169">
        <f t="shared" ca="1" si="78"/>
        <v>51.499866666666662</v>
      </c>
      <c r="BP61" s="170">
        <f ca="1">INDEX('Cap based on indoor unit SZ'!$V$43:$V$58,MATCH(AE61,'Cap based on indoor unit SZ'!$U$43:$U$58))</f>
        <v>11.956020512820512</v>
      </c>
      <c r="BQ61" s="170">
        <f ca="1">INDEX('Cap based on indoor unit SZ'!$V$43:$V$58,MATCH(AF61,'Cap based on indoor unit SZ'!$U$43:$U$58))</f>
        <v>14.945025641025641</v>
      </c>
      <c r="BR61" s="170">
        <f ca="1">INDEX('Cap based on indoor unit SZ'!$V$43:$V$58,MATCH(AG61,'Cap based on indoor unit SZ'!$U$43:$U$58))</f>
        <v>24.598820512820513</v>
      </c>
      <c r="BS61" s="179"/>
      <c r="BT61" s="179"/>
      <c r="BU61" s="175">
        <v>9500</v>
      </c>
      <c r="BV61" s="175">
        <v>12500</v>
      </c>
      <c r="BW61" s="175">
        <v>18000</v>
      </c>
      <c r="BX61" s="179"/>
      <c r="BY61" s="179"/>
      <c r="BZ61" s="172">
        <f t="shared" ca="1" si="79"/>
        <v>50.32039316239316</v>
      </c>
      <c r="CA61" s="173">
        <f t="shared" ca="1" si="94"/>
        <v>11.612398422090729</v>
      </c>
      <c r="CB61" s="173">
        <f t="shared" ca="1" si="95"/>
        <v>15.483197896120972</v>
      </c>
      <c r="CC61" s="173">
        <f t="shared" ca="1" si="96"/>
        <v>23.224796844181459</v>
      </c>
      <c r="CD61" s="180"/>
      <c r="CE61" s="180"/>
      <c r="CF61" s="166">
        <f t="shared" ca="1" si="82"/>
        <v>35.034876164206693</v>
      </c>
      <c r="CG61" s="167">
        <f t="shared" ca="1" si="83"/>
        <v>8.0849714225092377</v>
      </c>
      <c r="CH61" s="167">
        <f t="shared" ca="1" si="84"/>
        <v>10.779961896678982</v>
      </c>
      <c r="CI61" s="167">
        <f t="shared" ca="1" si="97"/>
        <v>16.169942845018475</v>
      </c>
      <c r="CJ61" s="178"/>
      <c r="CK61" s="178"/>
    </row>
    <row r="62" spans="2:89">
      <c r="B62" s="197">
        <v>36</v>
      </c>
      <c r="C62" s="197">
        <v>89.6</v>
      </c>
      <c r="D62" s="197">
        <v>73.400000000000006</v>
      </c>
      <c r="E62" s="198" t="s">
        <v>16</v>
      </c>
      <c r="F62" s="199">
        <v>32.19</v>
      </c>
      <c r="G62" s="200">
        <v>32.99</v>
      </c>
      <c r="H62" s="200">
        <v>32.74</v>
      </c>
      <c r="I62" s="200">
        <v>33.380000000000003</v>
      </c>
      <c r="J62" s="200">
        <v>33.67</v>
      </c>
      <c r="K62" s="200">
        <v>36.47</v>
      </c>
      <c r="L62" s="201">
        <v>40.68</v>
      </c>
      <c r="M62" s="201">
        <v>41.56</v>
      </c>
      <c r="N62" s="201">
        <v>40.32</v>
      </c>
      <c r="O62" s="201">
        <v>34.22</v>
      </c>
      <c r="P62" s="201">
        <v>32.76</v>
      </c>
      <c r="Q62" s="201">
        <v>29.34</v>
      </c>
      <c r="R62" s="152"/>
      <c r="S62" s="152"/>
      <c r="T62" s="152"/>
      <c r="U62" s="183"/>
      <c r="V62" s="152"/>
      <c r="W62" s="152"/>
      <c r="X62" s="152"/>
      <c r="Y62" s="152"/>
      <c r="AC62" s="164" t="s">
        <v>174</v>
      </c>
      <c r="AD62" s="164">
        <v>36</v>
      </c>
      <c r="AE62" s="165">
        <v>9</v>
      </c>
      <c r="AF62" s="165">
        <v>12</v>
      </c>
      <c r="AG62" s="165">
        <v>24</v>
      </c>
      <c r="AH62" s="164"/>
      <c r="AI62" s="164"/>
      <c r="AJ62" s="501"/>
      <c r="AK62" s="166">
        <f t="shared" ca="1" si="67"/>
        <v>40.956666666666649</v>
      </c>
      <c r="AL62" s="167">
        <f t="shared" ca="1" si="85"/>
        <v>8.1913333333333309</v>
      </c>
      <c r="AM62" s="167">
        <f t="shared" ca="1" si="86"/>
        <v>10.921777777777773</v>
      </c>
      <c r="AN62" s="167">
        <f t="shared" ca="1" si="87"/>
        <v>21.843555555555547</v>
      </c>
      <c r="AO62" s="178"/>
      <c r="AP62" s="178"/>
      <c r="AQ62" s="169">
        <f t="shared" ca="1" si="70"/>
        <v>47.99422222222222</v>
      </c>
      <c r="AR62" s="170">
        <f ca="1">INDEX('Cap based on indoor unit SZ'!$J$6:$J$21,MATCH(AE62,'Cap based on indoor unit SZ'!$I$6:$I$21))</f>
        <v>10.463111111111111</v>
      </c>
      <c r="AS62" s="170">
        <f ca="1">INDEX('Cap based on indoor unit SZ'!$J$6:$J$21,MATCH(AF62,'Cap based on indoor unit SZ'!$I$6:$I$21))</f>
        <v>13.078888888888891</v>
      </c>
      <c r="AT62" s="170">
        <f ca="1">INDEX('Cap based on indoor unit SZ'!$J$6:$J$21,MATCH(AG62,'Cap based on indoor unit SZ'!$I$6:$I$21))</f>
        <v>24.452222222222218</v>
      </c>
      <c r="AU62" s="179"/>
      <c r="AV62" s="179"/>
      <c r="AW62" s="169">
        <f t="shared" si="71"/>
        <v>42.5</v>
      </c>
      <c r="AX62" s="170">
        <v>9</v>
      </c>
      <c r="AY62" s="170">
        <v>12</v>
      </c>
      <c r="AZ62" s="170">
        <v>21.5</v>
      </c>
      <c r="BA62" s="179"/>
      <c r="BB62" s="179"/>
      <c r="BC62" s="172">
        <f t="shared" ca="1" si="72"/>
        <v>40.956666666666649</v>
      </c>
      <c r="BD62" s="173">
        <f t="shared" ca="1" si="88"/>
        <v>8.1913333333333309</v>
      </c>
      <c r="BE62" s="173">
        <f t="shared" ca="1" si="89"/>
        <v>10.921777777777773</v>
      </c>
      <c r="BF62" s="173">
        <f t="shared" ca="1" si="90"/>
        <v>21.843555555555547</v>
      </c>
      <c r="BG62" s="180"/>
      <c r="BH62" s="180"/>
      <c r="BI62" s="166">
        <f t="shared" ca="1" si="75"/>
        <v>50.32039316239316</v>
      </c>
      <c r="BJ62" s="167">
        <f t="shared" ca="1" si="91"/>
        <v>10.064078632478632</v>
      </c>
      <c r="BK62" s="167">
        <f t="shared" ca="1" si="92"/>
        <v>13.418771509971508</v>
      </c>
      <c r="BL62" s="167">
        <f t="shared" ca="1" si="93"/>
        <v>26.837543019943016</v>
      </c>
      <c r="BM62" s="178"/>
      <c r="BN62" s="178"/>
      <c r="BO62" s="169">
        <f t="shared" ca="1" si="78"/>
        <v>57.191046153846159</v>
      </c>
      <c r="BP62" s="170">
        <f ca="1">INDEX('Cap based on indoor unit SZ'!$V$43:$V$58,MATCH(AE62,'Cap based on indoor unit SZ'!$U$43:$U$58))</f>
        <v>11.956020512820512</v>
      </c>
      <c r="BQ62" s="170">
        <f ca="1">INDEX('Cap based on indoor unit SZ'!$V$43:$V$58,MATCH(AF62,'Cap based on indoor unit SZ'!$U$43:$U$58))</f>
        <v>14.945025641025641</v>
      </c>
      <c r="BR62" s="170">
        <f ca="1">INDEX('Cap based on indoor unit SZ'!$V$43:$V$58,MATCH(AG62,'Cap based on indoor unit SZ'!$U$43:$U$58))</f>
        <v>30.290000000000003</v>
      </c>
      <c r="BS62" s="179"/>
      <c r="BT62" s="179"/>
      <c r="BU62" s="175">
        <v>9500</v>
      </c>
      <c r="BV62" s="175">
        <v>12500</v>
      </c>
      <c r="BW62" s="175">
        <v>22000</v>
      </c>
      <c r="BX62" s="179"/>
      <c r="BY62" s="179"/>
      <c r="BZ62" s="172">
        <f t="shared" ca="1" si="79"/>
        <v>50.32039316239316</v>
      </c>
      <c r="CA62" s="173">
        <f t="shared" ca="1" si="94"/>
        <v>10.064078632478632</v>
      </c>
      <c r="CB62" s="173">
        <f t="shared" ca="1" si="95"/>
        <v>13.418771509971508</v>
      </c>
      <c r="CC62" s="173">
        <f t="shared" ca="1" si="96"/>
        <v>26.837543019943016</v>
      </c>
      <c r="CD62" s="180"/>
      <c r="CE62" s="180"/>
      <c r="CF62" s="166">
        <f t="shared" ca="1" si="82"/>
        <v>35.034876164206686</v>
      </c>
      <c r="CG62" s="167">
        <f t="shared" ca="1" si="83"/>
        <v>7.0069752328413379</v>
      </c>
      <c r="CH62" s="167">
        <f t="shared" ca="1" si="84"/>
        <v>9.3426336437884494</v>
      </c>
      <c r="CI62" s="167">
        <f t="shared" ca="1" si="97"/>
        <v>18.685267287576899</v>
      </c>
      <c r="CJ62" s="178"/>
      <c r="CK62" s="178"/>
    </row>
    <row r="63" spans="2:89">
      <c r="B63" s="197">
        <v>48</v>
      </c>
      <c r="C63" s="197">
        <v>69.8</v>
      </c>
      <c r="D63" s="197">
        <v>59</v>
      </c>
      <c r="E63" s="198" t="s">
        <v>16</v>
      </c>
      <c r="F63" s="199">
        <v>28.86</v>
      </c>
      <c r="G63" s="200">
        <v>29.58</v>
      </c>
      <c r="H63" s="200">
        <v>29.76</v>
      </c>
      <c r="I63" s="200">
        <v>29.31</v>
      </c>
      <c r="J63" s="200">
        <v>28.87</v>
      </c>
      <c r="K63" s="200">
        <v>30.64</v>
      </c>
      <c r="L63" s="201">
        <v>37.24</v>
      </c>
      <c r="M63" s="201">
        <v>36.86</v>
      </c>
      <c r="N63" s="201">
        <v>35.53</v>
      </c>
      <c r="O63" s="201">
        <v>32.97</v>
      </c>
      <c r="P63" s="201">
        <v>29.86</v>
      </c>
      <c r="Q63" s="201">
        <v>26.54</v>
      </c>
      <c r="R63" s="152"/>
      <c r="S63" s="152"/>
      <c r="T63" s="152"/>
      <c r="U63" s="183"/>
      <c r="V63" s="152"/>
      <c r="W63" s="152"/>
      <c r="X63" s="152"/>
      <c r="Y63" s="152"/>
      <c r="AC63" s="164" t="s">
        <v>173</v>
      </c>
      <c r="AD63" s="164">
        <v>36</v>
      </c>
      <c r="AE63" s="165">
        <v>9</v>
      </c>
      <c r="AF63" s="165">
        <v>18</v>
      </c>
      <c r="AG63" s="165">
        <v>18</v>
      </c>
      <c r="AH63" s="164"/>
      <c r="AI63" s="164"/>
      <c r="AJ63" s="501"/>
      <c r="AK63" s="166">
        <f t="shared" ca="1" si="67"/>
        <v>40.956666666666649</v>
      </c>
      <c r="AL63" s="167">
        <f t="shared" ca="1" si="85"/>
        <v>8.1913333333333309</v>
      </c>
      <c r="AM63" s="167">
        <f t="shared" ca="1" si="86"/>
        <v>16.382666666666662</v>
      </c>
      <c r="AN63" s="167">
        <f t="shared" ca="1" si="87"/>
        <v>16.382666666666662</v>
      </c>
      <c r="AO63" s="178"/>
      <c r="AP63" s="178"/>
      <c r="AQ63" s="169">
        <f t="shared" ca="1" si="70"/>
        <v>50.105333333333334</v>
      </c>
      <c r="AR63" s="170">
        <f ca="1">INDEX('Cap based on indoor unit SZ'!$J$6:$J$21,MATCH(AE63,'Cap based on indoor unit SZ'!$I$6:$I$21))</f>
        <v>10.463111111111111</v>
      </c>
      <c r="AS63" s="170">
        <f ca="1">INDEX('Cap based on indoor unit SZ'!$J$6:$J$21,MATCH(AF63,'Cap based on indoor unit SZ'!$I$6:$I$21))</f>
        <v>19.821111111111112</v>
      </c>
      <c r="AT63" s="170">
        <f ca="1">INDEX('Cap based on indoor unit SZ'!$J$6:$J$21,MATCH(AG63,'Cap based on indoor unit SZ'!$I$6:$I$21))</f>
        <v>19.821111111111112</v>
      </c>
      <c r="AU63" s="179"/>
      <c r="AV63" s="179"/>
      <c r="AW63" s="169">
        <f t="shared" si="71"/>
        <v>45</v>
      </c>
      <c r="AX63" s="170">
        <v>9</v>
      </c>
      <c r="AY63" s="170">
        <v>18</v>
      </c>
      <c r="AZ63" s="170">
        <v>18</v>
      </c>
      <c r="BA63" s="179"/>
      <c r="BB63" s="179"/>
      <c r="BC63" s="172">
        <f t="shared" ca="1" si="72"/>
        <v>40.956666666666649</v>
      </c>
      <c r="BD63" s="173">
        <f t="shared" ca="1" si="88"/>
        <v>8.1913333333333309</v>
      </c>
      <c r="BE63" s="173">
        <f t="shared" ca="1" si="89"/>
        <v>16.382666666666662</v>
      </c>
      <c r="BF63" s="173">
        <f t="shared" ca="1" si="90"/>
        <v>16.382666666666662</v>
      </c>
      <c r="BG63" s="180"/>
      <c r="BH63" s="180"/>
      <c r="BI63" s="166">
        <f t="shared" ca="1" si="75"/>
        <v>50.32039316239316</v>
      </c>
      <c r="BJ63" s="167">
        <f t="shared" ca="1" si="91"/>
        <v>10.064078632478632</v>
      </c>
      <c r="BK63" s="167">
        <f t="shared" ca="1" si="92"/>
        <v>20.128157264957263</v>
      </c>
      <c r="BL63" s="167">
        <f t="shared" ca="1" si="93"/>
        <v>20.128157264957263</v>
      </c>
      <c r="BM63" s="178"/>
      <c r="BN63" s="178"/>
      <c r="BO63" s="169">
        <f t="shared" ca="1" si="78"/>
        <v>61.153661538461535</v>
      </c>
      <c r="BP63" s="170">
        <f ca="1">INDEX('Cap based on indoor unit SZ'!$V$43:$V$58,MATCH(AE63,'Cap based on indoor unit SZ'!$U$43:$U$58))</f>
        <v>11.956020512820512</v>
      </c>
      <c r="BQ63" s="170">
        <f ca="1">INDEX('Cap based on indoor unit SZ'!$V$43:$V$58,MATCH(AF63,'Cap based on indoor unit SZ'!$U$43:$U$58))</f>
        <v>24.598820512820513</v>
      </c>
      <c r="BR63" s="170">
        <f ca="1">INDEX('Cap based on indoor unit SZ'!$V$43:$V$58,MATCH(AG63,'Cap based on indoor unit SZ'!$U$43:$U$58))</f>
        <v>24.598820512820513</v>
      </c>
      <c r="BS63" s="179"/>
      <c r="BT63" s="179"/>
      <c r="BU63" s="175">
        <v>9500</v>
      </c>
      <c r="BV63" s="175">
        <v>18500</v>
      </c>
      <c r="BW63" s="175">
        <v>18500</v>
      </c>
      <c r="BX63" s="179"/>
      <c r="BY63" s="179"/>
      <c r="BZ63" s="172">
        <f t="shared" ca="1" si="79"/>
        <v>50.32039316239316</v>
      </c>
      <c r="CA63" s="173">
        <f t="shared" ca="1" si="94"/>
        <v>10.064078632478632</v>
      </c>
      <c r="CB63" s="173">
        <f t="shared" ca="1" si="95"/>
        <v>20.128157264957263</v>
      </c>
      <c r="CC63" s="173">
        <f t="shared" ca="1" si="96"/>
        <v>20.128157264957263</v>
      </c>
      <c r="CD63" s="180"/>
      <c r="CE63" s="180"/>
      <c r="CF63" s="166">
        <f t="shared" ca="1" si="82"/>
        <v>35.034876164206693</v>
      </c>
      <c r="CG63" s="167">
        <f t="shared" ca="1" si="83"/>
        <v>7.0069752328413379</v>
      </c>
      <c r="CH63" s="167">
        <f t="shared" ca="1" si="84"/>
        <v>14.013950465682676</v>
      </c>
      <c r="CI63" s="167">
        <f t="shared" ca="1" si="97"/>
        <v>14.013950465682676</v>
      </c>
      <c r="CJ63" s="178"/>
      <c r="CK63" s="178"/>
    </row>
    <row r="64" spans="2:89">
      <c r="B64" s="197">
        <v>48</v>
      </c>
      <c r="C64" s="197">
        <v>75.2</v>
      </c>
      <c r="D64" s="197">
        <v>62.6</v>
      </c>
      <c r="E64" s="198" t="s">
        <v>16</v>
      </c>
      <c r="F64" s="199">
        <v>32.5</v>
      </c>
      <c r="G64" s="200">
        <v>33.31</v>
      </c>
      <c r="H64" s="200">
        <v>33.51</v>
      </c>
      <c r="I64" s="200">
        <v>33.01</v>
      </c>
      <c r="J64" s="200">
        <v>32.51</v>
      </c>
      <c r="K64" s="200">
        <v>34.9</v>
      </c>
      <c r="L64" s="201">
        <v>37.17</v>
      </c>
      <c r="M64" s="201">
        <v>36.1</v>
      </c>
      <c r="N64" s="201">
        <v>34.07</v>
      </c>
      <c r="O64" s="201">
        <v>32.049999999999997</v>
      </c>
      <c r="P64" s="201">
        <v>32.25</v>
      </c>
      <c r="Q64" s="201">
        <v>28.66</v>
      </c>
      <c r="R64" s="152"/>
      <c r="S64" s="152"/>
      <c r="T64" s="152"/>
      <c r="U64" s="183"/>
      <c r="V64" s="152"/>
      <c r="W64" s="152"/>
      <c r="X64" s="152"/>
      <c r="Y64" s="152"/>
      <c r="AC64" s="164" t="s">
        <v>172</v>
      </c>
      <c r="AD64" s="164">
        <v>36</v>
      </c>
      <c r="AE64" s="165">
        <v>9</v>
      </c>
      <c r="AF64" s="165">
        <v>18</v>
      </c>
      <c r="AG64" s="165">
        <v>24</v>
      </c>
      <c r="AH64" s="164"/>
      <c r="AI64" s="164"/>
      <c r="AJ64" s="501"/>
      <c r="AK64" s="166">
        <f t="shared" ca="1" si="67"/>
        <v>40.956666666666663</v>
      </c>
      <c r="AL64" s="167">
        <f t="shared" ca="1" si="85"/>
        <v>7.2276470588235284</v>
      </c>
      <c r="AM64" s="167">
        <f t="shared" ca="1" si="86"/>
        <v>14.455294117647057</v>
      </c>
      <c r="AN64" s="167">
        <f t="shared" ca="1" si="87"/>
        <v>19.273725490196075</v>
      </c>
      <c r="AO64" s="178"/>
      <c r="AP64" s="178"/>
      <c r="AQ64" s="169">
        <f t="shared" ca="1" si="70"/>
        <v>54.736444444444444</v>
      </c>
      <c r="AR64" s="170">
        <f ca="1">INDEX('Cap based on indoor unit SZ'!$J$6:$J$21,MATCH(AE64,'Cap based on indoor unit SZ'!$I$6:$I$21))</f>
        <v>10.463111111111111</v>
      </c>
      <c r="AS64" s="170">
        <f ca="1">INDEX('Cap based on indoor unit SZ'!$J$6:$J$21,MATCH(AF64,'Cap based on indoor unit SZ'!$I$6:$I$21))</f>
        <v>19.821111111111112</v>
      </c>
      <c r="AT64" s="170">
        <f ca="1">INDEX('Cap based on indoor unit SZ'!$J$6:$J$21,MATCH(AG64,'Cap based on indoor unit SZ'!$I$6:$I$21))</f>
        <v>24.452222222222218</v>
      </c>
      <c r="AU64" s="179"/>
      <c r="AV64" s="179"/>
      <c r="AW64" s="169">
        <f t="shared" si="71"/>
        <v>46</v>
      </c>
      <c r="AX64" s="170">
        <v>8.5</v>
      </c>
      <c r="AY64" s="170">
        <v>16</v>
      </c>
      <c r="AZ64" s="170">
        <v>21.5</v>
      </c>
      <c r="BA64" s="179"/>
      <c r="BB64" s="179"/>
      <c r="BC64" s="172">
        <f t="shared" ca="1" si="72"/>
        <v>40.956666666666663</v>
      </c>
      <c r="BD64" s="173">
        <f t="shared" ca="1" si="88"/>
        <v>7.2276470588235284</v>
      </c>
      <c r="BE64" s="173">
        <f t="shared" ca="1" si="89"/>
        <v>14.455294117647057</v>
      </c>
      <c r="BF64" s="173">
        <f t="shared" ca="1" si="90"/>
        <v>19.273725490196075</v>
      </c>
      <c r="BG64" s="180"/>
      <c r="BH64" s="180"/>
      <c r="BI64" s="166">
        <f t="shared" ca="1" si="75"/>
        <v>50.320393162393167</v>
      </c>
      <c r="BJ64" s="167">
        <f t="shared" ca="1" si="91"/>
        <v>8.8800693815987941</v>
      </c>
      <c r="BK64" s="167">
        <f t="shared" ca="1" si="92"/>
        <v>17.760138763197588</v>
      </c>
      <c r="BL64" s="167">
        <f t="shared" ca="1" si="93"/>
        <v>23.680185017596784</v>
      </c>
      <c r="BM64" s="178"/>
      <c r="BN64" s="178"/>
      <c r="BO64" s="169">
        <f t="shared" ca="1" si="78"/>
        <v>66.844841025641031</v>
      </c>
      <c r="BP64" s="170">
        <f ca="1">INDEX('Cap based on indoor unit SZ'!$V$43:$V$58,MATCH(AE64,'Cap based on indoor unit SZ'!$U$43:$U$58))</f>
        <v>11.956020512820512</v>
      </c>
      <c r="BQ64" s="170">
        <f ca="1">INDEX('Cap based on indoor unit SZ'!$V$43:$V$58,MATCH(AF64,'Cap based on indoor unit SZ'!$U$43:$U$58))</f>
        <v>24.598820512820513</v>
      </c>
      <c r="BR64" s="170">
        <f ca="1">INDEX('Cap based on indoor unit SZ'!$V$43:$V$58,MATCH(AG64,'Cap based on indoor unit SZ'!$U$43:$U$58))</f>
        <v>30.290000000000003</v>
      </c>
      <c r="BS64" s="179"/>
      <c r="BT64" s="179"/>
      <c r="BU64" s="175">
        <v>9000</v>
      </c>
      <c r="BV64" s="175">
        <v>17000</v>
      </c>
      <c r="BW64" s="175">
        <v>22000</v>
      </c>
      <c r="BX64" s="179"/>
      <c r="BY64" s="179"/>
      <c r="BZ64" s="172">
        <f t="shared" ca="1" si="79"/>
        <v>50.320393162393167</v>
      </c>
      <c r="CA64" s="173">
        <f t="shared" ca="1" si="94"/>
        <v>8.8800693815987941</v>
      </c>
      <c r="CB64" s="173">
        <f t="shared" ca="1" si="95"/>
        <v>17.760138763197588</v>
      </c>
      <c r="CC64" s="173">
        <f t="shared" ca="1" si="96"/>
        <v>23.680185017596784</v>
      </c>
      <c r="CD64" s="180"/>
      <c r="CE64" s="180"/>
      <c r="CF64" s="166">
        <f t="shared" ca="1" si="82"/>
        <v>35.034876164206693</v>
      </c>
      <c r="CG64" s="167">
        <f t="shared" ca="1" si="83"/>
        <v>6.1826252054482405</v>
      </c>
      <c r="CH64" s="167">
        <f t="shared" ca="1" si="84"/>
        <v>12.365250410896481</v>
      </c>
      <c r="CI64" s="167">
        <f t="shared" ca="1" si="97"/>
        <v>16.487000547861971</v>
      </c>
      <c r="CJ64" s="178"/>
      <c r="CK64" s="178"/>
    </row>
    <row r="65" spans="2:89">
      <c r="B65" s="197">
        <v>48</v>
      </c>
      <c r="C65" s="197">
        <v>80.599999999999994</v>
      </c>
      <c r="D65" s="197">
        <v>66.2</v>
      </c>
      <c r="E65" s="198" t="s">
        <v>16</v>
      </c>
      <c r="F65" s="199">
        <v>40.35</v>
      </c>
      <c r="G65" s="200">
        <v>41.36</v>
      </c>
      <c r="H65" s="200">
        <v>41.01</v>
      </c>
      <c r="I65" s="200">
        <v>42.12</v>
      </c>
      <c r="J65" s="200">
        <v>42.11</v>
      </c>
      <c r="K65" s="200">
        <v>42.54</v>
      </c>
      <c r="L65" s="201">
        <v>46.04</v>
      </c>
      <c r="M65" s="201">
        <v>44.49</v>
      </c>
      <c r="N65" s="201">
        <v>42.79</v>
      </c>
      <c r="O65" s="201">
        <v>37.950000000000003</v>
      </c>
      <c r="P65" s="201">
        <v>38.57</v>
      </c>
      <c r="Q65" s="201">
        <v>35.24</v>
      </c>
      <c r="R65" s="152"/>
      <c r="S65" s="152"/>
      <c r="T65" s="152"/>
      <c r="U65" s="183"/>
      <c r="V65" s="152"/>
      <c r="W65" s="152"/>
      <c r="X65" s="152"/>
      <c r="Y65" s="152"/>
      <c r="AC65" s="164" t="s">
        <v>171</v>
      </c>
      <c r="AD65" s="164">
        <v>36</v>
      </c>
      <c r="AE65" s="165">
        <v>9</v>
      </c>
      <c r="AF65" s="165">
        <v>24</v>
      </c>
      <c r="AG65" s="165">
        <v>24</v>
      </c>
      <c r="AH65" s="164"/>
      <c r="AI65" s="164"/>
      <c r="AJ65" s="501"/>
      <c r="AK65" s="166">
        <f t="shared" ca="1" si="67"/>
        <v>40.956666666666649</v>
      </c>
      <c r="AL65" s="167">
        <f t="shared" ca="1" si="85"/>
        <v>6.4668421052631562</v>
      </c>
      <c r="AM65" s="167">
        <f t="shared" ca="1" si="86"/>
        <v>17.244912280701747</v>
      </c>
      <c r="AN65" s="167">
        <f t="shared" ca="1" si="87"/>
        <v>17.244912280701747</v>
      </c>
      <c r="AO65" s="178"/>
      <c r="AP65" s="178"/>
      <c r="AQ65" s="169">
        <f t="shared" ca="1" si="70"/>
        <v>59.367555555555548</v>
      </c>
      <c r="AR65" s="170">
        <f ca="1">INDEX('Cap based on indoor unit SZ'!$J$6:$J$21,MATCH(AE65,'Cap based on indoor unit SZ'!$I$6:$I$21))</f>
        <v>10.463111111111111</v>
      </c>
      <c r="AS65" s="170">
        <f ca="1">INDEX('Cap based on indoor unit SZ'!$J$6:$J$21,MATCH(AF65,'Cap based on indoor unit SZ'!$I$6:$I$21))</f>
        <v>24.452222222222218</v>
      </c>
      <c r="AT65" s="170">
        <f ca="1">INDEX('Cap based on indoor unit SZ'!$J$6:$J$21,MATCH(AG65,'Cap based on indoor unit SZ'!$I$6:$I$21))</f>
        <v>24.452222222222218</v>
      </c>
      <c r="AU65" s="179"/>
      <c r="AV65" s="179"/>
      <c r="AW65" s="169">
        <f t="shared" si="71"/>
        <v>48</v>
      </c>
      <c r="AX65" s="170">
        <v>8</v>
      </c>
      <c r="AY65" s="170">
        <v>20</v>
      </c>
      <c r="AZ65" s="170">
        <v>20</v>
      </c>
      <c r="BA65" s="179"/>
      <c r="BB65" s="179"/>
      <c r="BC65" s="172">
        <f t="shared" ca="1" si="72"/>
        <v>40.956666666666649</v>
      </c>
      <c r="BD65" s="173">
        <f t="shared" ca="1" si="88"/>
        <v>6.4668421052631562</v>
      </c>
      <c r="BE65" s="173">
        <f t="shared" ca="1" si="89"/>
        <v>17.244912280701747</v>
      </c>
      <c r="BF65" s="173">
        <f t="shared" ca="1" si="90"/>
        <v>17.244912280701747</v>
      </c>
      <c r="BG65" s="180"/>
      <c r="BH65" s="180"/>
      <c r="BI65" s="166">
        <f t="shared" ca="1" si="75"/>
        <v>50.32039316239316</v>
      </c>
      <c r="BJ65" s="167">
        <f t="shared" ca="1" si="91"/>
        <v>7.9453252361673412</v>
      </c>
      <c r="BK65" s="167">
        <f t="shared" ca="1" si="92"/>
        <v>21.187533963112909</v>
      </c>
      <c r="BL65" s="167">
        <f t="shared" ca="1" si="93"/>
        <v>21.187533963112909</v>
      </c>
      <c r="BM65" s="178"/>
      <c r="BN65" s="178"/>
      <c r="BO65" s="169">
        <f t="shared" ca="1" si="78"/>
        <v>72.536020512820514</v>
      </c>
      <c r="BP65" s="170">
        <f ca="1">INDEX('Cap based on indoor unit SZ'!$V$43:$V$58,MATCH(AE65,'Cap based on indoor unit SZ'!$U$43:$U$58))</f>
        <v>11.956020512820512</v>
      </c>
      <c r="BQ65" s="170">
        <f ca="1">INDEX('Cap based on indoor unit SZ'!$V$43:$V$58,MATCH(AF65,'Cap based on indoor unit SZ'!$U$43:$U$58))</f>
        <v>30.290000000000003</v>
      </c>
      <c r="BR65" s="170">
        <f ca="1">INDEX('Cap based on indoor unit SZ'!$V$43:$V$58,MATCH(AG65,'Cap based on indoor unit SZ'!$U$43:$U$58))</f>
        <v>30.290000000000003</v>
      </c>
      <c r="BS65" s="179"/>
      <c r="BT65" s="179"/>
      <c r="BU65" s="175">
        <v>8500</v>
      </c>
      <c r="BV65" s="175">
        <v>21000</v>
      </c>
      <c r="BW65" s="175">
        <v>21000</v>
      </c>
      <c r="BX65" s="179"/>
      <c r="BY65" s="179"/>
      <c r="BZ65" s="172">
        <f t="shared" ca="1" si="79"/>
        <v>50.32039316239316</v>
      </c>
      <c r="CA65" s="173">
        <f t="shared" ca="1" si="94"/>
        <v>7.9453252361673412</v>
      </c>
      <c r="CB65" s="173">
        <f t="shared" ca="1" si="95"/>
        <v>21.187533963112909</v>
      </c>
      <c r="CC65" s="173">
        <f t="shared" ca="1" si="96"/>
        <v>21.187533963112909</v>
      </c>
      <c r="CD65" s="180"/>
      <c r="CE65" s="180"/>
      <c r="CF65" s="166">
        <f t="shared" ca="1" si="82"/>
        <v>35.034876164206686</v>
      </c>
      <c r="CG65" s="167">
        <f t="shared" ca="1" si="83"/>
        <v>5.5318225522431614</v>
      </c>
      <c r="CH65" s="167">
        <f t="shared" ca="1" si="84"/>
        <v>14.751526805981761</v>
      </c>
      <c r="CI65" s="167">
        <f t="shared" ca="1" si="97"/>
        <v>14.751526805981761</v>
      </c>
      <c r="CJ65" s="178"/>
      <c r="CK65" s="178"/>
    </row>
    <row r="66" spans="2:89" ht="14.4" thickBot="1">
      <c r="B66" s="197">
        <v>48</v>
      </c>
      <c r="C66" s="197">
        <v>89.6</v>
      </c>
      <c r="D66" s="197">
        <v>73.400000000000006</v>
      </c>
      <c r="E66" s="198" t="s">
        <v>16</v>
      </c>
      <c r="F66" s="199">
        <v>41.8</v>
      </c>
      <c r="G66" s="200">
        <v>42.84</v>
      </c>
      <c r="H66" s="200">
        <v>42.49</v>
      </c>
      <c r="I66" s="200">
        <v>42.98</v>
      </c>
      <c r="J66" s="200">
        <v>43.63</v>
      </c>
      <c r="K66" s="200">
        <v>46.45</v>
      </c>
      <c r="L66" s="201">
        <v>52.52</v>
      </c>
      <c r="M66" s="201">
        <v>51.31</v>
      </c>
      <c r="N66" s="201">
        <v>50.24</v>
      </c>
      <c r="O66" s="201">
        <v>40.85</v>
      </c>
      <c r="P66" s="201">
        <v>40.5</v>
      </c>
      <c r="Q66" s="201">
        <v>37.04</v>
      </c>
      <c r="R66" s="152"/>
      <c r="S66" s="152"/>
      <c r="T66" s="152"/>
      <c r="U66" s="183"/>
      <c r="V66" s="152"/>
      <c r="W66" s="152"/>
      <c r="X66" s="152"/>
      <c r="Y66" s="152"/>
      <c r="AC66" s="164" t="s">
        <v>170</v>
      </c>
      <c r="AD66" s="164">
        <v>36</v>
      </c>
      <c r="AE66" s="165">
        <v>12</v>
      </c>
      <c r="AF66" s="165">
        <v>12</v>
      </c>
      <c r="AG66" s="165">
        <v>12</v>
      </c>
      <c r="AH66" s="164"/>
      <c r="AI66" s="164"/>
      <c r="AJ66" s="501"/>
      <c r="AK66" s="166">
        <f t="shared" ca="1" si="67"/>
        <v>39.236666666666672</v>
      </c>
      <c r="AL66" s="167">
        <f t="shared" ca="1" si="85"/>
        <v>13.078888888888891</v>
      </c>
      <c r="AM66" s="167">
        <f t="shared" ca="1" si="86"/>
        <v>13.078888888888891</v>
      </c>
      <c r="AN66" s="167">
        <f t="shared" ca="1" si="87"/>
        <v>13.078888888888891</v>
      </c>
      <c r="AO66" s="178"/>
      <c r="AP66" s="178"/>
      <c r="AQ66" s="169">
        <f t="shared" ca="1" si="70"/>
        <v>39.236666666666672</v>
      </c>
      <c r="AR66" s="170">
        <f ca="1">INDEX('Cap based on indoor unit SZ'!$J$6:$J$21,MATCH(AE66,'Cap based on indoor unit SZ'!$I$6:$I$21))</f>
        <v>13.078888888888891</v>
      </c>
      <c r="AS66" s="170">
        <f ca="1">INDEX('Cap based on indoor unit SZ'!$J$6:$J$21,MATCH(AF66,'Cap based on indoor unit SZ'!$I$6:$I$21))</f>
        <v>13.078888888888891</v>
      </c>
      <c r="AT66" s="170">
        <f ca="1">INDEX('Cap based on indoor unit SZ'!$J$6:$J$21,MATCH(AG66,'Cap based on indoor unit SZ'!$I$6:$I$21))</f>
        <v>13.078888888888891</v>
      </c>
      <c r="AU66" s="179"/>
      <c r="AV66" s="179"/>
      <c r="AW66" s="169">
        <f t="shared" si="71"/>
        <v>36</v>
      </c>
      <c r="AX66" s="170">
        <v>12</v>
      </c>
      <c r="AY66" s="170">
        <v>12</v>
      </c>
      <c r="AZ66" s="170">
        <v>12</v>
      </c>
      <c r="BA66" s="179"/>
      <c r="BB66" s="179"/>
      <c r="BC66" s="172">
        <f t="shared" ca="1" si="72"/>
        <v>40.956666666666649</v>
      </c>
      <c r="BD66" s="173">
        <f t="shared" ca="1" si="88"/>
        <v>13.652222222222218</v>
      </c>
      <c r="BE66" s="173">
        <f t="shared" ca="1" si="89"/>
        <v>13.652222222222218</v>
      </c>
      <c r="BF66" s="173">
        <f t="shared" ca="1" si="90"/>
        <v>13.652222222222218</v>
      </c>
      <c r="BG66" s="180"/>
      <c r="BH66" s="180"/>
      <c r="BI66" s="166">
        <f t="shared" ca="1" si="75"/>
        <v>44.835076923076926</v>
      </c>
      <c r="BJ66" s="167">
        <f t="shared" ca="1" si="91"/>
        <v>14.945025641025641</v>
      </c>
      <c r="BK66" s="167">
        <f t="shared" ca="1" si="92"/>
        <v>14.945025641025641</v>
      </c>
      <c r="BL66" s="167">
        <f t="shared" ca="1" si="93"/>
        <v>14.945025641025641</v>
      </c>
      <c r="BM66" s="178"/>
      <c r="BN66" s="178"/>
      <c r="BO66" s="169">
        <f t="shared" ca="1" si="78"/>
        <v>44.835076923076926</v>
      </c>
      <c r="BP66" s="170">
        <f ca="1">INDEX('Cap based on indoor unit SZ'!$V$43:$V$58,MATCH(AE66,'Cap based on indoor unit SZ'!$U$43:$U$58))</f>
        <v>14.945025641025641</v>
      </c>
      <c r="BQ66" s="170">
        <f ca="1">INDEX('Cap based on indoor unit SZ'!$V$43:$V$58,MATCH(AF66,'Cap based on indoor unit SZ'!$U$43:$U$58))</f>
        <v>14.945025641025641</v>
      </c>
      <c r="BR66" s="170">
        <f ca="1">INDEX('Cap based on indoor unit SZ'!$V$43:$V$58,MATCH(AG66,'Cap based on indoor unit SZ'!$U$43:$U$58))</f>
        <v>14.945025641025641</v>
      </c>
      <c r="BS66" s="179"/>
      <c r="BT66" s="179"/>
      <c r="BU66" s="175">
        <v>13000</v>
      </c>
      <c r="BV66" s="175">
        <v>13000</v>
      </c>
      <c r="BW66" s="175">
        <v>13000</v>
      </c>
      <c r="BX66" s="179"/>
      <c r="BY66" s="179"/>
      <c r="BZ66" s="172">
        <f t="shared" ca="1" si="79"/>
        <v>50.32039316239316</v>
      </c>
      <c r="CA66" s="173">
        <f t="shared" ca="1" si="94"/>
        <v>16.773464387464387</v>
      </c>
      <c r="CB66" s="173">
        <f t="shared" ca="1" si="95"/>
        <v>16.773464387464387</v>
      </c>
      <c r="CC66" s="173">
        <f t="shared" ca="1" si="96"/>
        <v>16.773464387464387</v>
      </c>
      <c r="CD66" s="180"/>
      <c r="CE66" s="180"/>
      <c r="CF66" s="166">
        <f t="shared" ca="1" si="82"/>
        <v>33.563565339698634</v>
      </c>
      <c r="CG66" s="167">
        <f t="shared" ca="1" si="83"/>
        <v>11.187855113232878</v>
      </c>
      <c r="CH66" s="167">
        <f t="shared" ca="1" si="84"/>
        <v>11.187855113232878</v>
      </c>
      <c r="CI66" s="167">
        <f t="shared" ca="1" si="97"/>
        <v>11.187855113232878</v>
      </c>
      <c r="CJ66" s="178"/>
      <c r="CK66" s="178"/>
    </row>
    <row r="67" spans="2:89">
      <c r="B67" s="188">
        <v>18</v>
      </c>
      <c r="C67" s="189">
        <v>69.8</v>
      </c>
      <c r="D67" s="189">
        <v>59</v>
      </c>
      <c r="E67" s="190" t="s">
        <v>109</v>
      </c>
      <c r="F67" s="219">
        <f t="shared" ref="F67:Q67" si="98">F47/F27</f>
        <v>0.79027196652719656</v>
      </c>
      <c r="G67" s="220">
        <f t="shared" si="98"/>
        <v>0.77995971802618336</v>
      </c>
      <c r="H67" s="220">
        <f t="shared" si="98"/>
        <v>0.78026449643947104</v>
      </c>
      <c r="I67" s="220">
        <f t="shared" si="98"/>
        <v>0.78037383177570085</v>
      </c>
      <c r="J67" s="220">
        <f t="shared" si="98"/>
        <v>0.7800741918388977</v>
      </c>
      <c r="K67" s="220">
        <f t="shared" si="98"/>
        <v>0.78008699855002417</v>
      </c>
      <c r="L67" s="219">
        <f t="shared" si="98"/>
        <v>0.78053259871441683</v>
      </c>
      <c r="M67" s="219">
        <f t="shared" si="98"/>
        <v>0.79989969909729175</v>
      </c>
      <c r="N67" s="219">
        <f t="shared" si="98"/>
        <v>0.84988839285714279</v>
      </c>
      <c r="O67" s="219">
        <f t="shared" si="98"/>
        <v>1</v>
      </c>
      <c r="P67" s="219">
        <f t="shared" si="98"/>
        <v>1</v>
      </c>
      <c r="Q67" s="221">
        <f t="shared" si="98"/>
        <v>1</v>
      </c>
      <c r="R67" s="222">
        <f t="shared" ref="R67:R86" ca="1" si="99">FORECAST(Cool_Design_T,OFFSET(F67:Q67,0,MATCH(Cool_Design_T,$F$26:$Q$26,1)-1,1,2),OFFSET($F$26:$Q$26,0,MATCH(Cool_Design_T,$F$26:$Q$26,1)-1,1,2))</f>
        <v>0.84988839285714279</v>
      </c>
      <c r="S67" s="145"/>
      <c r="T67" s="145"/>
      <c r="U67" s="146" t="s">
        <v>96</v>
      </c>
      <c r="V67" s="150">
        <f ca="1">FORECAST(INDOOR_DB,OFFSET(R67:R70,MATCH(INDOOR_DB,C67:C70,1)-1,0,2),OFFSET(C67:C70,MATCH(INDOOR_DB,C67:C70,1)-1,0,2))</f>
        <v>0.75800133877480547</v>
      </c>
      <c r="W67" s="145">
        <f>B67</f>
        <v>18</v>
      </c>
      <c r="X67" s="150">
        <f ca="1">IF(OR(INDOOR_DB&lt;C67,INDOOR_DB&gt;C70),V69,V67)</f>
        <v>0.75800133877480547</v>
      </c>
      <c r="Y67" s="152"/>
      <c r="AC67" s="164" t="s">
        <v>169</v>
      </c>
      <c r="AD67" s="164">
        <v>36</v>
      </c>
      <c r="AE67" s="165">
        <v>12</v>
      </c>
      <c r="AF67" s="165">
        <v>12</v>
      </c>
      <c r="AG67" s="165">
        <v>18</v>
      </c>
      <c r="AH67" s="164"/>
      <c r="AI67" s="164"/>
      <c r="AJ67" s="501"/>
      <c r="AK67" s="166">
        <f t="shared" ca="1" si="67"/>
        <v>40.956666666666656</v>
      </c>
      <c r="AL67" s="167">
        <f t="shared" ca="1" si="85"/>
        <v>11.701904761904759</v>
      </c>
      <c r="AM67" s="167">
        <f t="shared" ca="1" si="86"/>
        <v>11.701904761904759</v>
      </c>
      <c r="AN67" s="167">
        <f t="shared" ca="1" si="87"/>
        <v>17.552857142857139</v>
      </c>
      <c r="AO67" s="178"/>
      <c r="AP67" s="178"/>
      <c r="AQ67" s="169">
        <f t="shared" ca="1" si="70"/>
        <v>45.978888888888889</v>
      </c>
      <c r="AR67" s="170">
        <f ca="1">INDEX('Cap based on indoor unit SZ'!$J$6:$J$21,MATCH(AE67,'Cap based on indoor unit SZ'!$I$6:$I$21))</f>
        <v>13.078888888888891</v>
      </c>
      <c r="AS67" s="170">
        <f ca="1">INDEX('Cap based on indoor unit SZ'!$J$6:$J$21,MATCH(AF67,'Cap based on indoor unit SZ'!$I$6:$I$21))</f>
        <v>13.078888888888891</v>
      </c>
      <c r="AT67" s="170">
        <f ca="1">INDEX('Cap based on indoor unit SZ'!$J$6:$J$21,MATCH(AG67,'Cap based on indoor unit SZ'!$I$6:$I$21))</f>
        <v>19.821111111111112</v>
      </c>
      <c r="AU67" s="179"/>
      <c r="AV67" s="179"/>
      <c r="AW67" s="169">
        <f t="shared" si="71"/>
        <v>41</v>
      </c>
      <c r="AX67" s="170">
        <v>12</v>
      </c>
      <c r="AY67" s="170">
        <v>12</v>
      </c>
      <c r="AZ67" s="170">
        <v>17</v>
      </c>
      <c r="BA67" s="179"/>
      <c r="BB67" s="179"/>
      <c r="BC67" s="172">
        <f t="shared" ca="1" si="72"/>
        <v>40.956666666666656</v>
      </c>
      <c r="BD67" s="173">
        <f t="shared" ca="1" si="88"/>
        <v>11.701904761904759</v>
      </c>
      <c r="BE67" s="173">
        <f t="shared" ca="1" si="89"/>
        <v>11.701904761904759</v>
      </c>
      <c r="BF67" s="173">
        <f t="shared" ca="1" si="90"/>
        <v>17.552857142857139</v>
      </c>
      <c r="BG67" s="180"/>
      <c r="BH67" s="180"/>
      <c r="BI67" s="166">
        <f t="shared" ca="1" si="75"/>
        <v>50.32039316239316</v>
      </c>
      <c r="BJ67" s="167">
        <f t="shared" ca="1" si="91"/>
        <v>14.377255189255189</v>
      </c>
      <c r="BK67" s="167">
        <f t="shared" ca="1" si="92"/>
        <v>14.377255189255189</v>
      </c>
      <c r="BL67" s="167">
        <f t="shared" ca="1" si="93"/>
        <v>21.565882783882785</v>
      </c>
      <c r="BM67" s="178"/>
      <c r="BN67" s="178"/>
      <c r="BO67" s="169">
        <f t="shared" ca="1" si="78"/>
        <v>54.488871794871798</v>
      </c>
      <c r="BP67" s="170">
        <f ca="1">INDEX('Cap based on indoor unit SZ'!$V$43:$V$58,MATCH(AE67,'Cap based on indoor unit SZ'!$U$43:$U$58))</f>
        <v>14.945025641025641</v>
      </c>
      <c r="BQ67" s="170">
        <f ca="1">INDEX('Cap based on indoor unit SZ'!$V$43:$V$58,MATCH(AF67,'Cap based on indoor unit SZ'!$U$43:$U$58))</f>
        <v>14.945025641025641</v>
      </c>
      <c r="BR67" s="170">
        <f ca="1">INDEX('Cap based on indoor unit SZ'!$V$43:$V$58,MATCH(AG67,'Cap based on indoor unit SZ'!$U$43:$U$58))</f>
        <v>24.598820512820513</v>
      </c>
      <c r="BS67" s="179"/>
      <c r="BT67" s="179"/>
      <c r="BU67" s="175">
        <v>12500</v>
      </c>
      <c r="BV67" s="175">
        <v>12500</v>
      </c>
      <c r="BW67" s="175">
        <v>18000</v>
      </c>
      <c r="BX67" s="179"/>
      <c r="BY67" s="179"/>
      <c r="BZ67" s="172">
        <f t="shared" ca="1" si="79"/>
        <v>50.32039316239316</v>
      </c>
      <c r="CA67" s="173">
        <f t="shared" ca="1" si="94"/>
        <v>14.377255189255189</v>
      </c>
      <c r="CB67" s="173">
        <f t="shared" ca="1" si="95"/>
        <v>14.377255189255189</v>
      </c>
      <c r="CC67" s="173">
        <f t="shared" ca="1" si="96"/>
        <v>21.565882783882785</v>
      </c>
      <c r="CD67" s="180"/>
      <c r="CE67" s="180"/>
      <c r="CF67" s="166">
        <f t="shared" ca="1" si="82"/>
        <v>35.034876164206686</v>
      </c>
      <c r="CG67" s="167">
        <f t="shared" ca="1" si="83"/>
        <v>10.009964618344767</v>
      </c>
      <c r="CH67" s="167">
        <f t="shared" ca="1" si="84"/>
        <v>10.009964618344767</v>
      </c>
      <c r="CI67" s="167">
        <f t="shared" ca="1" si="97"/>
        <v>15.014946927517153</v>
      </c>
      <c r="CJ67" s="178"/>
      <c r="CK67" s="178"/>
    </row>
    <row r="68" spans="2:89">
      <c r="B68" s="196">
        <v>18</v>
      </c>
      <c r="C68" s="197">
        <v>75.2</v>
      </c>
      <c r="D68" s="197">
        <v>62.6</v>
      </c>
      <c r="E68" s="198" t="s">
        <v>109</v>
      </c>
      <c r="F68" s="223">
        <f t="shared" ref="F68:Q68" si="100">F48/F28</f>
        <v>0.74732229795520932</v>
      </c>
      <c r="G68" s="224">
        <f t="shared" si="100"/>
        <v>0.72773892773892779</v>
      </c>
      <c r="H68" s="224">
        <f t="shared" si="100"/>
        <v>0.72020725388601026</v>
      </c>
      <c r="I68" s="224">
        <f t="shared" si="100"/>
        <v>0.74002883229216732</v>
      </c>
      <c r="J68" s="224">
        <f t="shared" si="100"/>
        <v>0.74975466143277725</v>
      </c>
      <c r="K68" s="224">
        <f t="shared" si="100"/>
        <v>0.75973154362416107</v>
      </c>
      <c r="L68" s="223">
        <f t="shared" si="100"/>
        <v>0.78018707482993199</v>
      </c>
      <c r="M68" s="223">
        <f t="shared" si="100"/>
        <v>0.7896935933147633</v>
      </c>
      <c r="N68" s="223">
        <f t="shared" si="100"/>
        <v>0.82015503875968987</v>
      </c>
      <c r="O68" s="223">
        <f t="shared" si="100"/>
        <v>0.88966049382716039</v>
      </c>
      <c r="P68" s="223">
        <f t="shared" si="100"/>
        <v>0.94964028776978426</v>
      </c>
      <c r="Q68" s="225">
        <f t="shared" si="100"/>
        <v>0.9802566633761105</v>
      </c>
      <c r="R68" s="226">
        <f t="shared" ca="1" si="99"/>
        <v>0.82015503875968987</v>
      </c>
      <c r="S68" s="145"/>
      <c r="T68" s="145"/>
      <c r="U68" s="146"/>
      <c r="V68" s="151"/>
      <c r="W68" s="145"/>
      <c r="X68" s="227"/>
      <c r="Y68" s="152"/>
      <c r="AC68" s="164" t="s">
        <v>168</v>
      </c>
      <c r="AD68" s="164">
        <v>36</v>
      </c>
      <c r="AE68" s="165">
        <v>12</v>
      </c>
      <c r="AF68" s="165">
        <v>12</v>
      </c>
      <c r="AG68" s="165">
        <v>24</v>
      </c>
      <c r="AH68" s="164"/>
      <c r="AI68" s="164"/>
      <c r="AJ68" s="501"/>
      <c r="AK68" s="166">
        <f t="shared" ca="1" si="67"/>
        <v>40.956666666666656</v>
      </c>
      <c r="AL68" s="167">
        <f t="shared" ca="1" si="85"/>
        <v>10.239166666666664</v>
      </c>
      <c r="AM68" s="167">
        <f t="shared" ca="1" si="86"/>
        <v>10.239166666666664</v>
      </c>
      <c r="AN68" s="167">
        <f t="shared" ca="1" si="87"/>
        <v>20.478333333333328</v>
      </c>
      <c r="AO68" s="178"/>
      <c r="AP68" s="178"/>
      <c r="AQ68" s="169">
        <f t="shared" ca="1" si="70"/>
        <v>50.61</v>
      </c>
      <c r="AR68" s="170">
        <f ca="1">INDEX('Cap based on indoor unit SZ'!$J$6:$J$21,MATCH(AE68,'Cap based on indoor unit SZ'!$I$6:$I$21))</f>
        <v>13.078888888888891</v>
      </c>
      <c r="AS68" s="170">
        <f ca="1">INDEX('Cap based on indoor unit SZ'!$J$6:$J$21,MATCH(AF68,'Cap based on indoor unit SZ'!$I$6:$I$21))</f>
        <v>13.078888888888891</v>
      </c>
      <c r="AT68" s="170">
        <f ca="1">INDEX('Cap based on indoor unit SZ'!$J$6:$J$21,MATCH(AG68,'Cap based on indoor unit SZ'!$I$6:$I$21))</f>
        <v>24.452222222222218</v>
      </c>
      <c r="AU68" s="179"/>
      <c r="AV68" s="179"/>
      <c r="AW68" s="169">
        <f t="shared" si="71"/>
        <v>44</v>
      </c>
      <c r="AX68" s="170">
        <v>11</v>
      </c>
      <c r="AY68" s="170">
        <v>11</v>
      </c>
      <c r="AZ68" s="170">
        <v>22</v>
      </c>
      <c r="BA68" s="179"/>
      <c r="BB68" s="179"/>
      <c r="BC68" s="172">
        <f t="shared" ca="1" si="72"/>
        <v>40.956666666666656</v>
      </c>
      <c r="BD68" s="173">
        <f t="shared" ca="1" si="88"/>
        <v>10.239166666666664</v>
      </c>
      <c r="BE68" s="173">
        <f t="shared" ca="1" si="89"/>
        <v>10.239166666666664</v>
      </c>
      <c r="BF68" s="173">
        <f t="shared" ca="1" si="90"/>
        <v>20.478333333333328</v>
      </c>
      <c r="BG68" s="180"/>
      <c r="BH68" s="180"/>
      <c r="BI68" s="166">
        <f t="shared" ca="1" si="75"/>
        <v>50.32039316239316</v>
      </c>
      <c r="BJ68" s="167">
        <f t="shared" ca="1" si="91"/>
        <v>12.58009829059829</v>
      </c>
      <c r="BK68" s="167">
        <f t="shared" ca="1" si="92"/>
        <v>12.58009829059829</v>
      </c>
      <c r="BL68" s="167">
        <f t="shared" ca="1" si="93"/>
        <v>25.16019658119658</v>
      </c>
      <c r="BM68" s="178"/>
      <c r="BN68" s="178"/>
      <c r="BO68" s="169">
        <f t="shared" ca="1" si="78"/>
        <v>60.180051282051281</v>
      </c>
      <c r="BP68" s="170">
        <f ca="1">INDEX('Cap based on indoor unit SZ'!$V$43:$V$58,MATCH(AE68,'Cap based on indoor unit SZ'!$U$43:$U$58))</f>
        <v>14.945025641025641</v>
      </c>
      <c r="BQ68" s="170">
        <f ca="1">INDEX('Cap based on indoor unit SZ'!$V$43:$V$58,MATCH(AF68,'Cap based on indoor unit SZ'!$U$43:$U$58))</f>
        <v>14.945025641025641</v>
      </c>
      <c r="BR68" s="170">
        <f ca="1">INDEX('Cap based on indoor unit SZ'!$V$43:$V$58,MATCH(AG68,'Cap based on indoor unit SZ'!$U$43:$U$58))</f>
        <v>30.290000000000003</v>
      </c>
      <c r="BS68" s="179"/>
      <c r="BT68" s="179"/>
      <c r="BU68" s="175">
        <v>11500</v>
      </c>
      <c r="BV68" s="175">
        <v>11500</v>
      </c>
      <c r="BW68" s="175">
        <v>23000</v>
      </c>
      <c r="BX68" s="179"/>
      <c r="BY68" s="179"/>
      <c r="BZ68" s="172">
        <f t="shared" ca="1" si="79"/>
        <v>50.32039316239316</v>
      </c>
      <c r="CA68" s="173">
        <f t="shared" ca="1" si="94"/>
        <v>12.58009829059829</v>
      </c>
      <c r="CB68" s="173">
        <f t="shared" ca="1" si="95"/>
        <v>12.58009829059829</v>
      </c>
      <c r="CC68" s="173">
        <f t="shared" ca="1" si="96"/>
        <v>25.16019658119658</v>
      </c>
      <c r="CD68" s="180"/>
      <c r="CE68" s="180"/>
      <c r="CF68" s="166">
        <f t="shared" ca="1" si="82"/>
        <v>35.034876164206686</v>
      </c>
      <c r="CG68" s="167">
        <f t="shared" ca="1" si="83"/>
        <v>8.7587190410516715</v>
      </c>
      <c r="CH68" s="167">
        <f t="shared" ca="1" si="84"/>
        <v>8.7587190410516715</v>
      </c>
      <c r="CI68" s="167">
        <f t="shared" ca="1" si="97"/>
        <v>17.517438082103343</v>
      </c>
      <c r="CJ68" s="178"/>
      <c r="CK68" s="178"/>
    </row>
    <row r="69" spans="2:89">
      <c r="B69" s="196">
        <v>18</v>
      </c>
      <c r="C69" s="197">
        <v>80.599999999999994</v>
      </c>
      <c r="D69" s="197">
        <v>66.2</v>
      </c>
      <c r="E69" s="198" t="s">
        <v>109</v>
      </c>
      <c r="F69" s="223">
        <f t="shared" ref="F69:Q69" si="101">F49/F29</f>
        <v>0.75034230944774083</v>
      </c>
      <c r="G69" s="224">
        <f t="shared" si="101"/>
        <v>0.75022261798753342</v>
      </c>
      <c r="H69" s="224">
        <f t="shared" si="101"/>
        <v>0.75022542831379624</v>
      </c>
      <c r="I69" s="224">
        <f t="shared" si="101"/>
        <v>0.80115401686640031</v>
      </c>
      <c r="J69" s="224">
        <f t="shared" si="101"/>
        <v>0.75010940919037195</v>
      </c>
      <c r="K69" s="224">
        <f t="shared" si="101"/>
        <v>0.74989648033126299</v>
      </c>
      <c r="L69" s="223">
        <f t="shared" si="101"/>
        <v>0.7299880525686977</v>
      </c>
      <c r="M69" s="223">
        <f t="shared" si="101"/>
        <v>0.75010482180293503</v>
      </c>
      <c r="N69" s="223">
        <f t="shared" si="101"/>
        <v>0.75023212627669456</v>
      </c>
      <c r="O69" s="223">
        <f t="shared" si="101"/>
        <v>0.97975708502024283</v>
      </c>
      <c r="P69" s="223">
        <f t="shared" si="101"/>
        <v>0.99015471167369895</v>
      </c>
      <c r="Q69" s="225">
        <f t="shared" si="101"/>
        <v>1</v>
      </c>
      <c r="R69" s="226">
        <f t="shared" ca="1" si="99"/>
        <v>0.75023212627669467</v>
      </c>
      <c r="S69" s="145"/>
      <c r="T69" s="145"/>
      <c r="U69" s="146" t="s">
        <v>97</v>
      </c>
      <c r="V69" s="150">
        <f ca="1">TREND(R67:R70,C67:C70,INDOOR_DB)</f>
        <v>0.82023871910848634</v>
      </c>
      <c r="W69" s="145"/>
      <c r="X69" s="227"/>
      <c r="Y69" s="152"/>
      <c r="AC69" s="164" t="s">
        <v>167</v>
      </c>
      <c r="AD69" s="164">
        <v>36</v>
      </c>
      <c r="AE69" s="165">
        <v>12</v>
      </c>
      <c r="AF69" s="165">
        <v>18</v>
      </c>
      <c r="AG69" s="165">
        <v>18</v>
      </c>
      <c r="AH69" s="164"/>
      <c r="AI69" s="164"/>
      <c r="AJ69" s="501"/>
      <c r="AK69" s="166">
        <f t="shared" ca="1" si="67"/>
        <v>40.956666666666663</v>
      </c>
      <c r="AL69" s="167">
        <f t="shared" ca="1" si="85"/>
        <v>10.239166666666664</v>
      </c>
      <c r="AM69" s="167">
        <f t="shared" ca="1" si="86"/>
        <v>15.358749999999997</v>
      </c>
      <c r="AN69" s="167">
        <f t="shared" ca="1" si="87"/>
        <v>15.358749999999997</v>
      </c>
      <c r="AO69" s="178"/>
      <c r="AP69" s="178"/>
      <c r="AQ69" s="169">
        <f t="shared" ca="1" si="70"/>
        <v>52.721111111111114</v>
      </c>
      <c r="AR69" s="170">
        <f ca="1">INDEX('Cap based on indoor unit SZ'!$J$6:$J$21,MATCH(AE69,'Cap based on indoor unit SZ'!$I$6:$I$21))</f>
        <v>13.078888888888891</v>
      </c>
      <c r="AS69" s="170">
        <f ca="1">INDEX('Cap based on indoor unit SZ'!$J$6:$J$21,MATCH(AF69,'Cap based on indoor unit SZ'!$I$6:$I$21))</f>
        <v>19.821111111111112</v>
      </c>
      <c r="AT69" s="170">
        <f ca="1">INDEX('Cap based on indoor unit SZ'!$J$6:$J$21,MATCH(AG69,'Cap based on indoor unit SZ'!$I$6:$I$21))</f>
        <v>19.821111111111112</v>
      </c>
      <c r="AU69" s="179"/>
      <c r="AV69" s="179"/>
      <c r="AW69" s="169">
        <f t="shared" si="71"/>
        <v>44</v>
      </c>
      <c r="AX69" s="170">
        <v>11</v>
      </c>
      <c r="AY69" s="170">
        <v>16.5</v>
      </c>
      <c r="AZ69" s="170">
        <v>16.5</v>
      </c>
      <c r="BA69" s="179"/>
      <c r="BB69" s="179"/>
      <c r="BC69" s="172">
        <f t="shared" ca="1" si="72"/>
        <v>40.956666666666663</v>
      </c>
      <c r="BD69" s="173">
        <f t="shared" ca="1" si="88"/>
        <v>10.239166666666664</v>
      </c>
      <c r="BE69" s="173">
        <f t="shared" ca="1" si="89"/>
        <v>15.358749999999997</v>
      </c>
      <c r="BF69" s="173">
        <f t="shared" ca="1" si="90"/>
        <v>15.358749999999997</v>
      </c>
      <c r="BG69" s="180"/>
      <c r="BH69" s="180"/>
      <c r="BI69" s="166">
        <f t="shared" ca="1" si="75"/>
        <v>50.32039316239316</v>
      </c>
      <c r="BJ69" s="167">
        <f t="shared" ca="1" si="91"/>
        <v>12.58009829059829</v>
      </c>
      <c r="BK69" s="167">
        <f t="shared" ca="1" si="92"/>
        <v>18.870147435897437</v>
      </c>
      <c r="BL69" s="167">
        <f t="shared" ca="1" si="93"/>
        <v>18.870147435897437</v>
      </c>
      <c r="BM69" s="178"/>
      <c r="BN69" s="178"/>
      <c r="BO69" s="169">
        <f t="shared" ca="1" si="78"/>
        <v>64.14266666666667</v>
      </c>
      <c r="BP69" s="170">
        <f ca="1">INDEX('Cap based on indoor unit SZ'!$V$43:$V$58,MATCH(AE69,'Cap based on indoor unit SZ'!$U$43:$U$58))</f>
        <v>14.945025641025641</v>
      </c>
      <c r="BQ69" s="170">
        <f ca="1">INDEX('Cap based on indoor unit SZ'!$V$43:$V$58,MATCH(AF69,'Cap based on indoor unit SZ'!$U$43:$U$58))</f>
        <v>24.598820512820513</v>
      </c>
      <c r="BR69" s="170">
        <f ca="1">INDEX('Cap based on indoor unit SZ'!$V$43:$V$58,MATCH(AG69,'Cap based on indoor unit SZ'!$U$43:$U$58))</f>
        <v>24.598820512820513</v>
      </c>
      <c r="BS69" s="179"/>
      <c r="BT69" s="179"/>
      <c r="BU69" s="175">
        <v>11500</v>
      </c>
      <c r="BV69" s="175">
        <v>17000</v>
      </c>
      <c r="BW69" s="175">
        <v>17000</v>
      </c>
      <c r="BX69" s="179"/>
      <c r="BY69" s="179"/>
      <c r="BZ69" s="172">
        <f t="shared" ca="1" si="79"/>
        <v>50.32039316239316</v>
      </c>
      <c r="CA69" s="173">
        <f t="shared" ca="1" si="94"/>
        <v>12.58009829059829</v>
      </c>
      <c r="CB69" s="173">
        <f t="shared" ca="1" si="95"/>
        <v>18.870147435897437</v>
      </c>
      <c r="CC69" s="173">
        <f t="shared" ca="1" si="96"/>
        <v>18.870147435897437</v>
      </c>
      <c r="CD69" s="180"/>
      <c r="CE69" s="180"/>
      <c r="CF69" s="166">
        <f t="shared" ca="1" si="82"/>
        <v>35.034876164206693</v>
      </c>
      <c r="CG69" s="167">
        <f t="shared" ca="1" si="83"/>
        <v>8.7587190410516715</v>
      </c>
      <c r="CH69" s="167">
        <f t="shared" ca="1" si="84"/>
        <v>13.13807856157751</v>
      </c>
      <c r="CI69" s="167">
        <f t="shared" ca="1" si="97"/>
        <v>13.13807856157751</v>
      </c>
      <c r="CJ69" s="178"/>
      <c r="CK69" s="178"/>
    </row>
    <row r="70" spans="2:89" ht="14.4" thickBot="1">
      <c r="B70" s="204">
        <v>18</v>
      </c>
      <c r="C70" s="205">
        <v>89.6</v>
      </c>
      <c r="D70" s="205">
        <v>73.400000000000006</v>
      </c>
      <c r="E70" s="206" t="s">
        <v>109</v>
      </c>
      <c r="F70" s="228">
        <f t="shared" ref="F70:Q70" si="102">F50/F30</f>
        <v>0.71996651318543314</v>
      </c>
      <c r="G70" s="229">
        <f t="shared" si="102"/>
        <v>0.7201797385620915</v>
      </c>
      <c r="H70" s="229">
        <f t="shared" si="102"/>
        <v>0.72994210090984279</v>
      </c>
      <c r="I70" s="229">
        <f t="shared" si="102"/>
        <v>0.73982084690553762</v>
      </c>
      <c r="J70" s="229">
        <f t="shared" si="102"/>
        <v>0.74989963869931753</v>
      </c>
      <c r="K70" s="229">
        <f t="shared" si="102"/>
        <v>0.73024316109422482</v>
      </c>
      <c r="L70" s="228">
        <f t="shared" si="102"/>
        <v>0.81987577639751552</v>
      </c>
      <c r="M70" s="228">
        <f t="shared" si="102"/>
        <v>0.84</v>
      </c>
      <c r="N70" s="228">
        <f t="shared" si="102"/>
        <v>0.85988074957410565</v>
      </c>
      <c r="O70" s="228">
        <f t="shared" si="102"/>
        <v>0.9399380804953561</v>
      </c>
      <c r="P70" s="228">
        <f t="shared" si="102"/>
        <v>0.96000000000000008</v>
      </c>
      <c r="Q70" s="230">
        <f t="shared" si="102"/>
        <v>0.97971781305114636</v>
      </c>
      <c r="R70" s="231">
        <f t="shared" ca="1" si="99"/>
        <v>0.85988074957410565</v>
      </c>
      <c r="S70" s="145"/>
      <c r="T70" s="145"/>
      <c r="U70" s="146"/>
      <c r="V70" s="151"/>
      <c r="W70" s="145"/>
      <c r="X70" s="227"/>
      <c r="Y70" s="152"/>
      <c r="AC70" s="164" t="s">
        <v>166</v>
      </c>
      <c r="AD70" s="164">
        <v>36</v>
      </c>
      <c r="AE70" s="165">
        <v>12</v>
      </c>
      <c r="AF70" s="165">
        <v>18</v>
      </c>
      <c r="AG70" s="165">
        <v>24</v>
      </c>
      <c r="AH70" s="164"/>
      <c r="AI70" s="164"/>
      <c r="AJ70" s="501"/>
      <c r="AK70" s="166">
        <f t="shared" ca="1" si="67"/>
        <v>40.956666666666656</v>
      </c>
      <c r="AL70" s="167">
        <f t="shared" ca="1" si="85"/>
        <v>9.1014814814814784</v>
      </c>
      <c r="AM70" s="167">
        <f t="shared" ca="1" si="86"/>
        <v>13.652222222222219</v>
      </c>
      <c r="AN70" s="167">
        <f t="shared" ca="1" si="87"/>
        <v>18.202962962962957</v>
      </c>
      <c r="AO70" s="178"/>
      <c r="AP70" s="178"/>
      <c r="AQ70" s="169">
        <f t="shared" ca="1" si="70"/>
        <v>57.352222222222224</v>
      </c>
      <c r="AR70" s="170">
        <f ca="1">INDEX('Cap based on indoor unit SZ'!$J$6:$J$21,MATCH(AE70,'Cap based on indoor unit SZ'!$I$6:$I$21))</f>
        <v>13.078888888888891</v>
      </c>
      <c r="AS70" s="170">
        <f ca="1">INDEX('Cap based on indoor unit SZ'!$J$6:$J$21,MATCH(AF70,'Cap based on indoor unit SZ'!$I$6:$I$21))</f>
        <v>19.821111111111112</v>
      </c>
      <c r="AT70" s="170">
        <f ca="1">INDEX('Cap based on indoor unit SZ'!$J$6:$J$21,MATCH(AG70,'Cap based on indoor unit SZ'!$I$6:$I$21))</f>
        <v>24.452222222222218</v>
      </c>
      <c r="AU70" s="179"/>
      <c r="AV70" s="179"/>
      <c r="AW70" s="169">
        <f t="shared" si="71"/>
        <v>47.5</v>
      </c>
      <c r="AX70" s="170">
        <v>10.5</v>
      </c>
      <c r="AY70" s="170">
        <v>15.5</v>
      </c>
      <c r="AZ70" s="170">
        <v>21.5</v>
      </c>
      <c r="BA70" s="179"/>
      <c r="BB70" s="179"/>
      <c r="BC70" s="172">
        <f t="shared" ca="1" si="72"/>
        <v>40.956666666666656</v>
      </c>
      <c r="BD70" s="173">
        <f t="shared" ca="1" si="88"/>
        <v>9.1014814814814784</v>
      </c>
      <c r="BE70" s="173">
        <f t="shared" ca="1" si="89"/>
        <v>13.652222222222219</v>
      </c>
      <c r="BF70" s="173">
        <f t="shared" ca="1" si="90"/>
        <v>18.202962962962957</v>
      </c>
      <c r="BG70" s="180"/>
      <c r="BH70" s="180"/>
      <c r="BI70" s="166">
        <f t="shared" ca="1" si="75"/>
        <v>50.32039316239316</v>
      </c>
      <c r="BJ70" s="167">
        <f t="shared" ca="1" si="91"/>
        <v>11.182309591642923</v>
      </c>
      <c r="BK70" s="167">
        <f t="shared" ca="1" si="92"/>
        <v>16.773464387464387</v>
      </c>
      <c r="BL70" s="167">
        <f t="shared" ca="1" si="93"/>
        <v>22.364619183285846</v>
      </c>
      <c r="BM70" s="178"/>
      <c r="BN70" s="178"/>
      <c r="BO70" s="169">
        <f t="shared" ca="1" si="78"/>
        <v>69.833846153846153</v>
      </c>
      <c r="BP70" s="170">
        <f ca="1">INDEX('Cap based on indoor unit SZ'!$V$43:$V$58,MATCH(AE70,'Cap based on indoor unit SZ'!$U$43:$U$58))</f>
        <v>14.945025641025641</v>
      </c>
      <c r="BQ70" s="170">
        <f ca="1">INDEX('Cap based on indoor unit SZ'!$V$43:$V$58,MATCH(AF70,'Cap based on indoor unit SZ'!$U$43:$U$58))</f>
        <v>24.598820512820513</v>
      </c>
      <c r="BR70" s="170">
        <f ca="1">INDEX('Cap based on indoor unit SZ'!$V$43:$V$58,MATCH(AG70,'Cap based on indoor unit SZ'!$U$43:$U$58))</f>
        <v>30.290000000000003</v>
      </c>
      <c r="BS70" s="179"/>
      <c r="BT70" s="179"/>
      <c r="BU70" s="175">
        <v>11000</v>
      </c>
      <c r="BV70" s="175">
        <v>16000</v>
      </c>
      <c r="BW70" s="175">
        <v>22000</v>
      </c>
      <c r="BX70" s="179"/>
      <c r="BY70" s="179"/>
      <c r="BZ70" s="172">
        <f t="shared" ca="1" si="79"/>
        <v>50.32039316239316</v>
      </c>
      <c r="CA70" s="173">
        <f t="shared" ca="1" si="94"/>
        <v>11.182309591642923</v>
      </c>
      <c r="CB70" s="173">
        <f t="shared" ca="1" si="95"/>
        <v>16.773464387464387</v>
      </c>
      <c r="CC70" s="173">
        <f t="shared" ca="1" si="96"/>
        <v>22.364619183285846</v>
      </c>
      <c r="CD70" s="180"/>
      <c r="CE70" s="180"/>
      <c r="CF70" s="166">
        <f t="shared" ca="1" si="82"/>
        <v>35.034876164206693</v>
      </c>
      <c r="CG70" s="167">
        <f t="shared" ca="1" si="83"/>
        <v>7.7855280364903745</v>
      </c>
      <c r="CH70" s="167">
        <f t="shared" ca="1" si="84"/>
        <v>11.678292054735564</v>
      </c>
      <c r="CI70" s="167">
        <f t="shared" ca="1" si="97"/>
        <v>15.571056072980749</v>
      </c>
      <c r="CJ70" s="178"/>
      <c r="CK70" s="178"/>
    </row>
    <row r="71" spans="2:89">
      <c r="B71" s="188">
        <v>24</v>
      </c>
      <c r="C71" s="189">
        <v>69.8</v>
      </c>
      <c r="D71" s="189">
        <v>59</v>
      </c>
      <c r="E71" s="190" t="s">
        <v>109</v>
      </c>
      <c r="F71" s="219">
        <f t="shared" ref="F71:Q71" si="103">F51/F31</f>
        <v>0.70025031289111384</v>
      </c>
      <c r="G71" s="220">
        <f t="shared" si="103"/>
        <v>0.70024420024420031</v>
      </c>
      <c r="H71" s="220">
        <f t="shared" si="103"/>
        <v>0.70012277470841011</v>
      </c>
      <c r="I71" s="220">
        <f t="shared" si="103"/>
        <v>0.7</v>
      </c>
      <c r="J71" s="220">
        <f t="shared" si="103"/>
        <v>0.7001555209953344</v>
      </c>
      <c r="K71" s="220">
        <f t="shared" si="103"/>
        <v>0.70015267175572515</v>
      </c>
      <c r="L71" s="219">
        <f t="shared" si="103"/>
        <v>0.78514180024660918</v>
      </c>
      <c r="M71" s="219">
        <f t="shared" si="103"/>
        <v>0.84706755753526353</v>
      </c>
      <c r="N71" s="219">
        <f t="shared" si="103"/>
        <v>0.8871627146361406</v>
      </c>
      <c r="O71" s="219">
        <f t="shared" si="103"/>
        <v>0.97197197197197205</v>
      </c>
      <c r="P71" s="219">
        <f t="shared" si="103"/>
        <v>0.98006833712984065</v>
      </c>
      <c r="Q71" s="221">
        <f t="shared" si="103"/>
        <v>1</v>
      </c>
      <c r="R71" s="222">
        <f t="shared" ca="1" si="99"/>
        <v>0.8871627146361406</v>
      </c>
      <c r="S71" s="145"/>
      <c r="T71" s="145"/>
      <c r="U71" s="146" t="s">
        <v>96</v>
      </c>
      <c r="V71" s="150">
        <f ca="1">FORECAST(INDOOR_DB,OFFSET(R71:R74,MATCH(INDOOR_DB,C71:C74,1)-1,0,2),OFFSET(C71:C74,MATCH(INDOOR_DB,C71:C74,1)-1,0,2))</f>
        <v>0.77572014415788804</v>
      </c>
      <c r="W71" s="145">
        <f>B71</f>
        <v>24</v>
      </c>
      <c r="X71" s="150">
        <f ca="1">IF(OR(INDOOR_DB&lt;C71,INDOOR_DB&gt;C74),V73,V71)</f>
        <v>0.77572014415788804</v>
      </c>
      <c r="Y71" s="152"/>
      <c r="AC71" s="164" t="s">
        <v>165</v>
      </c>
      <c r="AD71" s="164">
        <v>36</v>
      </c>
      <c r="AE71" s="165">
        <v>12</v>
      </c>
      <c r="AF71" s="165">
        <v>24</v>
      </c>
      <c r="AG71" s="165">
        <v>24</v>
      </c>
      <c r="AH71" s="164"/>
      <c r="AI71" s="164"/>
      <c r="AJ71" s="501"/>
      <c r="AK71" s="166">
        <f t="shared" ca="1" si="67"/>
        <v>40.956666666666649</v>
      </c>
      <c r="AL71" s="167">
        <f t="shared" ca="1" si="85"/>
        <v>8.1913333333333309</v>
      </c>
      <c r="AM71" s="167">
        <f t="shared" ca="1" si="86"/>
        <v>16.382666666666662</v>
      </c>
      <c r="AN71" s="167">
        <f t="shared" ca="1" si="87"/>
        <v>16.382666666666662</v>
      </c>
      <c r="AO71" s="178"/>
      <c r="AP71" s="178"/>
      <c r="AQ71" s="169">
        <f t="shared" ca="1" si="70"/>
        <v>61.983333333333327</v>
      </c>
      <c r="AR71" s="170">
        <f ca="1">INDEX('Cap based on indoor unit SZ'!$J$6:$J$21,MATCH(AE71,'Cap based on indoor unit SZ'!$I$6:$I$21))</f>
        <v>13.078888888888891</v>
      </c>
      <c r="AS71" s="170">
        <f ca="1">INDEX('Cap based on indoor unit SZ'!$J$6:$J$21,MATCH(AF71,'Cap based on indoor unit SZ'!$I$6:$I$21))</f>
        <v>24.452222222222218</v>
      </c>
      <c r="AT71" s="170">
        <f ca="1">INDEX('Cap based on indoor unit SZ'!$J$6:$J$21,MATCH(AG71,'Cap based on indoor unit SZ'!$I$6:$I$21))</f>
        <v>24.452222222222218</v>
      </c>
      <c r="AU71" s="179"/>
      <c r="AV71" s="179"/>
      <c r="AW71" s="169">
        <f t="shared" si="71"/>
        <v>50</v>
      </c>
      <c r="AX71" s="170">
        <v>10</v>
      </c>
      <c r="AY71" s="170">
        <v>20</v>
      </c>
      <c r="AZ71" s="170">
        <v>20</v>
      </c>
      <c r="BA71" s="179"/>
      <c r="BB71" s="179"/>
      <c r="BC71" s="172">
        <f t="shared" ca="1" si="72"/>
        <v>40.956666666666649</v>
      </c>
      <c r="BD71" s="173">
        <f t="shared" ca="1" si="88"/>
        <v>8.1913333333333309</v>
      </c>
      <c r="BE71" s="173">
        <f t="shared" ca="1" si="89"/>
        <v>16.382666666666662</v>
      </c>
      <c r="BF71" s="173">
        <f t="shared" ca="1" si="90"/>
        <v>16.382666666666662</v>
      </c>
      <c r="BG71" s="180"/>
      <c r="BH71" s="180"/>
      <c r="BI71" s="166">
        <f t="shared" ca="1" si="75"/>
        <v>50.320393162393167</v>
      </c>
      <c r="BJ71" s="167">
        <f t="shared" ca="1" si="91"/>
        <v>10.064078632478633</v>
      </c>
      <c r="BK71" s="167">
        <f t="shared" ca="1" si="92"/>
        <v>20.128157264957267</v>
      </c>
      <c r="BL71" s="167">
        <f t="shared" ca="1" si="93"/>
        <v>20.128157264957267</v>
      </c>
      <c r="BM71" s="178"/>
      <c r="BN71" s="178"/>
      <c r="BO71" s="169">
        <f t="shared" ca="1" si="78"/>
        <v>75.52502564102565</v>
      </c>
      <c r="BP71" s="170">
        <f ca="1">INDEX('Cap based on indoor unit SZ'!$V$43:$V$58,MATCH(AE71,'Cap based on indoor unit SZ'!$U$43:$U$58))</f>
        <v>14.945025641025641</v>
      </c>
      <c r="BQ71" s="170">
        <f ca="1">INDEX('Cap based on indoor unit SZ'!$V$43:$V$58,MATCH(AF71,'Cap based on indoor unit SZ'!$U$43:$U$58))</f>
        <v>30.290000000000003</v>
      </c>
      <c r="BR71" s="170">
        <f ca="1">INDEX('Cap based on indoor unit SZ'!$V$43:$V$58,MATCH(AG71,'Cap based on indoor unit SZ'!$U$43:$U$58))</f>
        <v>30.290000000000003</v>
      </c>
      <c r="BS71" s="179"/>
      <c r="BT71" s="179"/>
      <c r="BU71" s="175">
        <v>11000</v>
      </c>
      <c r="BV71" s="175">
        <v>20500</v>
      </c>
      <c r="BW71" s="175">
        <v>20500</v>
      </c>
      <c r="BX71" s="179"/>
      <c r="BY71" s="179"/>
      <c r="BZ71" s="172">
        <f t="shared" ca="1" si="79"/>
        <v>50.320393162393167</v>
      </c>
      <c r="CA71" s="173">
        <f t="shared" ca="1" si="94"/>
        <v>10.064078632478633</v>
      </c>
      <c r="CB71" s="173">
        <f t="shared" ca="1" si="95"/>
        <v>20.128157264957267</v>
      </c>
      <c r="CC71" s="173">
        <f t="shared" ca="1" si="96"/>
        <v>20.128157264957267</v>
      </c>
      <c r="CD71" s="180"/>
      <c r="CE71" s="180"/>
      <c r="CF71" s="166">
        <f t="shared" ca="1" si="82"/>
        <v>35.034876164206693</v>
      </c>
      <c r="CG71" s="167">
        <f t="shared" ca="1" si="83"/>
        <v>7.0069752328413379</v>
      </c>
      <c r="CH71" s="167">
        <f t="shared" ca="1" si="84"/>
        <v>14.013950465682676</v>
      </c>
      <c r="CI71" s="167">
        <f t="shared" ca="1" si="97"/>
        <v>14.013950465682676</v>
      </c>
      <c r="CJ71" s="178"/>
      <c r="CK71" s="178"/>
    </row>
    <row r="72" spans="2:89">
      <c r="B72" s="196">
        <v>24</v>
      </c>
      <c r="C72" s="197">
        <v>75.2</v>
      </c>
      <c r="D72" s="197">
        <v>62.6</v>
      </c>
      <c r="E72" s="198" t="s">
        <v>109</v>
      </c>
      <c r="F72" s="223">
        <f t="shared" ref="F72:Q72" si="104">F52/F32</f>
        <v>0.69997103967564445</v>
      </c>
      <c r="G72" s="224">
        <f t="shared" si="104"/>
        <v>0.69991523029104263</v>
      </c>
      <c r="H72" s="224">
        <f t="shared" si="104"/>
        <v>0.69991474850809887</v>
      </c>
      <c r="I72" s="224">
        <f t="shared" si="104"/>
        <v>0.70008520306731037</v>
      </c>
      <c r="J72" s="224">
        <f t="shared" si="104"/>
        <v>0.70017281105990781</v>
      </c>
      <c r="K72" s="224">
        <f t="shared" si="104"/>
        <v>0.70002827254735667</v>
      </c>
      <c r="L72" s="223">
        <f t="shared" si="104"/>
        <v>0.75</v>
      </c>
      <c r="M72" s="223">
        <f t="shared" si="104"/>
        <v>0.8199312714776632</v>
      </c>
      <c r="N72" s="223">
        <f t="shared" si="104"/>
        <v>0.85995457986373947</v>
      </c>
      <c r="O72" s="223">
        <f t="shared" si="104"/>
        <v>0.89990732159406872</v>
      </c>
      <c r="P72" s="223">
        <f t="shared" si="104"/>
        <v>0.95042194092826993</v>
      </c>
      <c r="Q72" s="225">
        <f t="shared" si="104"/>
        <v>0.98981426003594952</v>
      </c>
      <c r="R72" s="226">
        <f t="shared" ca="1" si="99"/>
        <v>0.85995457986373958</v>
      </c>
      <c r="S72" s="145"/>
      <c r="T72" s="145"/>
      <c r="U72" s="146"/>
      <c r="V72" s="151"/>
      <c r="W72" s="145"/>
      <c r="X72" s="227"/>
      <c r="Y72" s="152"/>
      <c r="AC72" s="164" t="s">
        <v>164</v>
      </c>
      <c r="AD72" s="164">
        <v>36</v>
      </c>
      <c r="AE72" s="165">
        <v>18</v>
      </c>
      <c r="AF72" s="165">
        <v>18</v>
      </c>
      <c r="AG72" s="165">
        <v>18</v>
      </c>
      <c r="AH72" s="164"/>
      <c r="AI72" s="164"/>
      <c r="AJ72" s="501"/>
      <c r="AK72" s="166">
        <f t="shared" ca="1" si="67"/>
        <v>40.956666666666656</v>
      </c>
      <c r="AL72" s="167">
        <f t="shared" ca="1" si="85"/>
        <v>13.652222222222219</v>
      </c>
      <c r="AM72" s="167">
        <f t="shared" ca="1" si="86"/>
        <v>13.652222222222219</v>
      </c>
      <c r="AN72" s="167">
        <f t="shared" ca="1" si="87"/>
        <v>13.652222222222219</v>
      </c>
      <c r="AO72" s="178"/>
      <c r="AP72" s="178"/>
      <c r="AQ72" s="169">
        <f t="shared" ca="1" si="70"/>
        <v>59.463333333333338</v>
      </c>
      <c r="AR72" s="170">
        <f ca="1">INDEX('Cap based on indoor unit SZ'!$J$6:$J$21,MATCH(AE72,'Cap based on indoor unit SZ'!$I$6:$I$21))</f>
        <v>19.821111111111112</v>
      </c>
      <c r="AS72" s="170">
        <f ca="1">INDEX('Cap based on indoor unit SZ'!$J$6:$J$21,MATCH(AF72,'Cap based on indoor unit SZ'!$I$6:$I$21))</f>
        <v>19.821111111111112</v>
      </c>
      <c r="AT72" s="170">
        <f ca="1">INDEX('Cap based on indoor unit SZ'!$J$6:$J$21,MATCH(AG72,'Cap based on indoor unit SZ'!$I$6:$I$21))</f>
        <v>19.821111111111112</v>
      </c>
      <c r="AU72" s="179"/>
      <c r="AV72" s="179"/>
      <c r="AW72" s="169">
        <f t="shared" si="71"/>
        <v>48</v>
      </c>
      <c r="AX72" s="170">
        <v>16</v>
      </c>
      <c r="AY72" s="170">
        <v>16</v>
      </c>
      <c r="AZ72" s="170">
        <v>16</v>
      </c>
      <c r="BA72" s="179"/>
      <c r="BB72" s="179"/>
      <c r="BC72" s="172">
        <f t="shared" ca="1" si="72"/>
        <v>40.956666666666656</v>
      </c>
      <c r="BD72" s="173">
        <f t="shared" ca="1" si="88"/>
        <v>13.652222222222219</v>
      </c>
      <c r="BE72" s="173">
        <f t="shared" ca="1" si="89"/>
        <v>13.652222222222219</v>
      </c>
      <c r="BF72" s="173">
        <f t="shared" ca="1" si="90"/>
        <v>13.652222222222219</v>
      </c>
      <c r="BG72" s="180"/>
      <c r="BH72" s="180"/>
      <c r="BI72" s="166">
        <f t="shared" ca="1" si="75"/>
        <v>50.32039316239316</v>
      </c>
      <c r="BJ72" s="167">
        <f t="shared" ca="1" si="91"/>
        <v>16.773464387464387</v>
      </c>
      <c r="BK72" s="167">
        <f t="shared" ca="1" si="92"/>
        <v>16.773464387464387</v>
      </c>
      <c r="BL72" s="167">
        <f t="shared" ca="1" si="93"/>
        <v>16.773464387464387</v>
      </c>
      <c r="BM72" s="178"/>
      <c r="BN72" s="178"/>
      <c r="BO72" s="169">
        <f t="shared" ca="1" si="78"/>
        <v>73.796461538461543</v>
      </c>
      <c r="BP72" s="170">
        <f ca="1">INDEX('Cap based on indoor unit SZ'!$V$43:$V$58,MATCH(AE72,'Cap based on indoor unit SZ'!$U$43:$U$58))</f>
        <v>24.598820512820513</v>
      </c>
      <c r="BQ72" s="170">
        <f ca="1">INDEX('Cap based on indoor unit SZ'!$V$43:$V$58,MATCH(AF72,'Cap based on indoor unit SZ'!$U$43:$U$58))</f>
        <v>24.598820512820513</v>
      </c>
      <c r="BR72" s="170">
        <f ca="1">INDEX('Cap based on indoor unit SZ'!$V$43:$V$58,MATCH(AG72,'Cap based on indoor unit SZ'!$U$43:$U$58))</f>
        <v>24.598820512820513</v>
      </c>
      <c r="BS72" s="179"/>
      <c r="BT72" s="179"/>
      <c r="BU72" s="175">
        <v>16500</v>
      </c>
      <c r="BV72" s="175">
        <v>16500</v>
      </c>
      <c r="BW72" s="175">
        <v>16500</v>
      </c>
      <c r="BX72" s="179"/>
      <c r="BY72" s="179"/>
      <c r="BZ72" s="172">
        <f t="shared" ca="1" si="79"/>
        <v>50.32039316239316</v>
      </c>
      <c r="CA72" s="173">
        <f t="shared" ca="1" si="94"/>
        <v>16.773464387464387</v>
      </c>
      <c r="CB72" s="173">
        <f t="shared" ca="1" si="95"/>
        <v>16.773464387464387</v>
      </c>
      <c r="CC72" s="173">
        <f t="shared" ca="1" si="96"/>
        <v>16.773464387464387</v>
      </c>
      <c r="CD72" s="180"/>
      <c r="CE72" s="180"/>
      <c r="CF72" s="166">
        <f t="shared" ca="1" si="82"/>
        <v>35.034876164206693</v>
      </c>
      <c r="CG72" s="167">
        <f t="shared" ca="1" si="83"/>
        <v>11.678292054735564</v>
      </c>
      <c r="CH72" s="167">
        <f t="shared" ca="1" si="84"/>
        <v>11.678292054735564</v>
      </c>
      <c r="CI72" s="167">
        <f t="shared" ca="1" si="97"/>
        <v>11.678292054735564</v>
      </c>
      <c r="CJ72" s="178"/>
      <c r="CK72" s="178"/>
    </row>
    <row r="73" spans="2:89">
      <c r="B73" s="196">
        <v>24</v>
      </c>
      <c r="C73" s="197">
        <v>80.599999999999994</v>
      </c>
      <c r="D73" s="197">
        <v>66.2</v>
      </c>
      <c r="E73" s="198" t="s">
        <v>109</v>
      </c>
      <c r="F73" s="223">
        <f t="shared" ref="F73:Q73" si="105">F53/F33</f>
        <v>0.70013793103448274</v>
      </c>
      <c r="G73" s="224">
        <f t="shared" si="105"/>
        <v>0.7001345895020189</v>
      </c>
      <c r="H73" s="224">
        <f t="shared" si="105"/>
        <v>0.70005370569280345</v>
      </c>
      <c r="I73" s="224">
        <f t="shared" si="105"/>
        <v>0.70010787486515647</v>
      </c>
      <c r="J73" s="224">
        <f t="shared" si="105"/>
        <v>0.70007997867235416</v>
      </c>
      <c r="K73" s="224">
        <f t="shared" si="105"/>
        <v>0.70010615711252655</v>
      </c>
      <c r="L73" s="223">
        <f t="shared" si="105"/>
        <v>0.71809219291233672</v>
      </c>
      <c r="M73" s="223">
        <f t="shared" si="105"/>
        <v>0.7369313365357445</v>
      </c>
      <c r="N73" s="223">
        <f t="shared" si="105"/>
        <v>0.7651908396946564</v>
      </c>
      <c r="O73" s="223">
        <f t="shared" si="105"/>
        <v>0.89397005261027918</v>
      </c>
      <c r="P73" s="223">
        <f t="shared" si="105"/>
        <v>0.99499165275459089</v>
      </c>
      <c r="Q73" s="225">
        <f t="shared" si="105"/>
        <v>0.99503722084367252</v>
      </c>
      <c r="R73" s="226">
        <f t="shared" ca="1" si="99"/>
        <v>0.76519083969465629</v>
      </c>
      <c r="S73" s="145"/>
      <c r="T73" s="145"/>
      <c r="U73" s="146" t="s">
        <v>97</v>
      </c>
      <c r="V73" s="150">
        <f ca="1">TREND(R71:R74,C71:C74,INDOOR_DB)</f>
        <v>0.85010561342900115</v>
      </c>
      <c r="W73" s="145"/>
      <c r="X73" s="227"/>
      <c r="Y73" s="152"/>
      <c r="AC73" s="164" t="s">
        <v>163</v>
      </c>
      <c r="AD73" s="164">
        <v>36</v>
      </c>
      <c r="AE73" s="165">
        <v>18</v>
      </c>
      <c r="AF73" s="165">
        <v>18</v>
      </c>
      <c r="AG73" s="165">
        <v>24</v>
      </c>
      <c r="AH73" s="164"/>
      <c r="AI73" s="164"/>
      <c r="AJ73" s="501"/>
      <c r="AK73" s="166">
        <f t="shared" ca="1" si="67"/>
        <v>40.956666666666656</v>
      </c>
      <c r="AL73" s="167">
        <f t="shared" ca="1" si="85"/>
        <v>12.286999999999997</v>
      </c>
      <c r="AM73" s="167">
        <f t="shared" ca="1" si="86"/>
        <v>12.286999999999997</v>
      </c>
      <c r="AN73" s="167">
        <f t="shared" ca="1" si="87"/>
        <v>16.382666666666662</v>
      </c>
      <c r="AO73" s="178"/>
      <c r="AP73" s="178"/>
      <c r="AQ73" s="169">
        <f t="shared" ca="1" si="70"/>
        <v>64.094444444444434</v>
      </c>
      <c r="AR73" s="170">
        <f ca="1">INDEX('Cap based on indoor unit SZ'!$J$6:$J$21,MATCH(AE73,'Cap based on indoor unit SZ'!$I$6:$I$21))</f>
        <v>19.821111111111112</v>
      </c>
      <c r="AS73" s="170">
        <f ca="1">INDEX('Cap based on indoor unit SZ'!$J$6:$J$21,MATCH(AF73,'Cap based on indoor unit SZ'!$I$6:$I$21))</f>
        <v>19.821111111111112</v>
      </c>
      <c r="AT73" s="170">
        <f ca="1">INDEX('Cap based on indoor unit SZ'!$J$6:$J$21,MATCH(AG73,'Cap based on indoor unit SZ'!$I$6:$I$21))</f>
        <v>24.452222222222218</v>
      </c>
      <c r="AU73" s="179"/>
      <c r="AV73" s="179"/>
      <c r="AW73" s="169">
        <f t="shared" si="71"/>
        <v>50</v>
      </c>
      <c r="AX73" s="170">
        <v>15</v>
      </c>
      <c r="AY73" s="170">
        <v>15</v>
      </c>
      <c r="AZ73" s="170">
        <v>20</v>
      </c>
      <c r="BA73" s="179"/>
      <c r="BB73" s="179"/>
      <c r="BC73" s="172">
        <f t="shared" ca="1" si="72"/>
        <v>40.956666666666656</v>
      </c>
      <c r="BD73" s="173">
        <f t="shared" ca="1" si="88"/>
        <v>12.286999999999997</v>
      </c>
      <c r="BE73" s="173">
        <f t="shared" ca="1" si="89"/>
        <v>12.286999999999997</v>
      </c>
      <c r="BF73" s="173">
        <f t="shared" ca="1" si="90"/>
        <v>16.382666666666662</v>
      </c>
      <c r="BG73" s="180"/>
      <c r="BH73" s="180"/>
      <c r="BI73" s="166">
        <f t="shared" ca="1" si="75"/>
        <v>50.320393162393167</v>
      </c>
      <c r="BJ73" s="167">
        <f t="shared" ca="1" si="91"/>
        <v>15.09611794871795</v>
      </c>
      <c r="BK73" s="167">
        <f t="shared" ca="1" si="92"/>
        <v>15.09611794871795</v>
      </c>
      <c r="BL73" s="167">
        <f t="shared" ca="1" si="93"/>
        <v>20.128157264957267</v>
      </c>
      <c r="BM73" s="178"/>
      <c r="BN73" s="178"/>
      <c r="BO73" s="169">
        <f t="shared" ca="1" si="78"/>
        <v>79.487641025641025</v>
      </c>
      <c r="BP73" s="170">
        <f ca="1">INDEX('Cap based on indoor unit SZ'!$V$43:$V$58,MATCH(AE73,'Cap based on indoor unit SZ'!$U$43:$U$58))</f>
        <v>24.598820512820513</v>
      </c>
      <c r="BQ73" s="170">
        <f ca="1">INDEX('Cap based on indoor unit SZ'!$V$43:$V$58,MATCH(AF73,'Cap based on indoor unit SZ'!$U$43:$U$58))</f>
        <v>24.598820512820513</v>
      </c>
      <c r="BR73" s="170">
        <f ca="1">INDEX('Cap based on indoor unit SZ'!$V$43:$V$58,MATCH(AG73,'Cap based on indoor unit SZ'!$U$43:$U$58))</f>
        <v>30.290000000000003</v>
      </c>
      <c r="BS73" s="179"/>
      <c r="BT73" s="179"/>
      <c r="BU73" s="175">
        <v>15500</v>
      </c>
      <c r="BV73" s="175">
        <v>15500</v>
      </c>
      <c r="BW73" s="175">
        <v>21000</v>
      </c>
      <c r="BX73" s="179"/>
      <c r="BY73" s="179"/>
      <c r="BZ73" s="172">
        <f t="shared" ca="1" si="79"/>
        <v>50.320393162393167</v>
      </c>
      <c r="CA73" s="173">
        <f t="shared" ca="1" si="94"/>
        <v>15.09611794871795</v>
      </c>
      <c r="CB73" s="173">
        <f t="shared" ca="1" si="95"/>
        <v>15.09611794871795</v>
      </c>
      <c r="CC73" s="173">
        <f t="shared" ca="1" si="96"/>
        <v>20.128157264957267</v>
      </c>
      <c r="CD73" s="180"/>
      <c r="CE73" s="180"/>
      <c r="CF73" s="166">
        <f t="shared" ca="1" si="82"/>
        <v>35.034876164206693</v>
      </c>
      <c r="CG73" s="167">
        <f t="shared" ca="1" si="83"/>
        <v>10.510462849262007</v>
      </c>
      <c r="CH73" s="167">
        <f t="shared" ca="1" si="84"/>
        <v>10.510462849262007</v>
      </c>
      <c r="CI73" s="167">
        <f t="shared" ca="1" si="97"/>
        <v>14.013950465682676</v>
      </c>
      <c r="CJ73" s="178"/>
      <c r="CK73" s="178"/>
    </row>
    <row r="74" spans="2:89" ht="14.4" thickBot="1">
      <c r="B74" s="204">
        <v>24</v>
      </c>
      <c r="C74" s="205">
        <v>89.6</v>
      </c>
      <c r="D74" s="205">
        <v>73.400000000000006</v>
      </c>
      <c r="E74" s="206" t="s">
        <v>109</v>
      </c>
      <c r="F74" s="228">
        <f t="shared" ref="F74:Q74" si="106">F54/F34</f>
        <v>0.70010314595152134</v>
      </c>
      <c r="G74" s="229">
        <f t="shared" si="106"/>
        <v>0.70012578616352195</v>
      </c>
      <c r="H74" s="229">
        <f t="shared" si="106"/>
        <v>0.69987452948557083</v>
      </c>
      <c r="I74" s="229">
        <f t="shared" si="106"/>
        <v>0.69984879032258063</v>
      </c>
      <c r="J74" s="229">
        <f t="shared" si="106"/>
        <v>0.69980069755854513</v>
      </c>
      <c r="K74" s="229">
        <f t="shared" si="106"/>
        <v>0.75992063492063489</v>
      </c>
      <c r="L74" s="228">
        <f t="shared" si="106"/>
        <v>0.81997011952191245</v>
      </c>
      <c r="M74" s="228">
        <f t="shared" si="106"/>
        <v>0.85001320306311068</v>
      </c>
      <c r="N74" s="228">
        <f t="shared" si="106"/>
        <v>0.89012557077625576</v>
      </c>
      <c r="O74" s="228">
        <f t="shared" si="106"/>
        <v>0.91981845688350983</v>
      </c>
      <c r="P74" s="228">
        <f t="shared" si="106"/>
        <v>0.95982839313572543</v>
      </c>
      <c r="Q74" s="230">
        <f t="shared" si="106"/>
        <v>1</v>
      </c>
      <c r="R74" s="231">
        <f t="shared" ca="1" si="99"/>
        <v>0.89012557077625576</v>
      </c>
      <c r="S74" s="145"/>
      <c r="T74" s="145"/>
      <c r="U74" s="146"/>
      <c r="V74" s="151"/>
      <c r="W74" s="145"/>
      <c r="X74" s="227"/>
      <c r="Y74" s="152"/>
      <c r="AC74" s="164" t="s">
        <v>162</v>
      </c>
      <c r="AD74" s="164">
        <v>36</v>
      </c>
      <c r="AE74" s="165">
        <v>9</v>
      </c>
      <c r="AF74" s="165">
        <v>9</v>
      </c>
      <c r="AG74" s="165">
        <v>9</v>
      </c>
      <c r="AH74" s="164">
        <v>9</v>
      </c>
      <c r="AI74" s="164"/>
      <c r="AJ74" s="500">
        <v>4</v>
      </c>
      <c r="AK74" s="166">
        <f t="shared" ca="1" si="67"/>
        <v>40.956666666666656</v>
      </c>
      <c r="AL74" s="167">
        <f t="shared" ref="AL74:AL91" ca="1" si="107">IF((INDEX($AA$4:$AA$7,MATCH(INDOOR_1,$Z$4:$Z$7))*(INDEX($X$27:$X$46,MATCH($AD74,$W$27:$W$46,1))/(INDEX($AA$4:$AA$7,MATCH(INDOOR_1,$Z$4:$Z$7))+INDEX($AA$4:$AA$7,MATCH(INDOOR_2,$Z$4:$Z$7))+INDEX($AA$4:$AA$7,MATCH(INDOOR_3,$Z$4:$Z$7))+INDEX($AA$4:$AA$7,MATCH(INDOOR_4,$Z$4:$Z$7)))))
&gt;AR74,AR74,
(INDEX($AA$4:$AA$7,MATCH(INDOOR_1,$Z$4:$Z$7))*(INDEX($X$27:$X$46,MATCH($AD74,$W$27:$W$46,1))/(INDEX($AA$4:$AA$7,MATCH(INDOOR_1,$Z$4:$Z$7))+INDEX($AA$4:$AA$7,MATCH(INDOOR_2,$Z$4:$Z$7))+INDEX($AA$4:$AA$7,MATCH(INDOOR_3,$Z$4:$Z$7))+INDEX($AA$4:$AA$7,MATCH(INDOOR_4,$Z$4:$Z$7))))))</f>
        <v>10.239166666666664</v>
      </c>
      <c r="AM74" s="167">
        <f t="shared" ref="AM74:AM91" ca="1" si="108">IF((INDEX($AA$4:$AA$7,MATCH(INDOOR_2,$Z$4:$Z$7))*(INDEX($X$27:$X$46,MATCH($AD74,$W$27:$W$46,1))/(INDEX($AA$4:$AA$7,MATCH(INDOOR_1,$Z$4:$Z$7))+INDEX($AA$4:$AA$7,MATCH(INDOOR_2,$Z$4:$Z$7))+INDEX($AA$4:$AA$7,MATCH(INDOOR_3,$Z$4:$Z$7))+INDEX($AA$4:$AA$7,MATCH(INDOOR_4,$Z$4:$Z$7)))))
&gt;AS74,AS74,
(INDEX($AA$4:$AA$7,MATCH(INDOOR_2,$Z$4:$Z$7))*(INDEX($X$27:$X$46,MATCH($AD74,$W$27:$W$46,1))/(INDEX($AA$4:$AA$7,MATCH(INDOOR_1,$Z$4:$Z$7))+INDEX($AA$4:$AA$7,MATCH(INDOOR_2,$Z$4:$Z$7))+INDEX($AA$4:$AA$7,MATCH(INDOOR_3,$Z$4:$Z$7))+INDEX($AA$4:$AA$7,MATCH(INDOOR_4,$Z$4:$Z$7))))))</f>
        <v>10.239166666666664</v>
      </c>
      <c r="AN74" s="167">
        <f t="shared" ref="AN74:AN91" ca="1" si="109">IF((INDEX($AA$4:$AA$7,MATCH(INDOOR_3,$Z$4:$Z$7))*(INDEX($X$27:$X$46,MATCH($AD74,$W$27:$W$46,1))/(INDEX($AA$4:$AA$7,MATCH(INDOOR_1,$Z$4:$Z$7))+INDEX($AA$4:$AA$7,MATCH(INDOOR_2,$Z$4:$Z$7))+INDEX($AA$4:$AA$7,MATCH(INDOOR_3,$Z$4:$Z$7))+INDEX($AA$4:$AA$7,MATCH(INDOOR_4,$Z$4:$Z$7)))))
&gt;AT74,AT74,
(INDEX($AA$4:$AA$7,MATCH(INDOOR_3,$Z$4:$Z$7))*(INDEX($X$27:$X$46,MATCH($AD74,$W$27:$W$46,1))/(INDEX($AA$4:$AA$7,MATCH(INDOOR_1,$Z$4:$Z$7))+INDEX($AA$4:$AA$7,MATCH(INDOOR_2,$Z$4:$Z$7))+INDEX($AA$4:$AA$7,MATCH(INDOOR_3,$Z$4:$Z$7))+INDEX($AA$4:$AA$7,MATCH(INDOOR_4,$Z$4:$Z$7))))))</f>
        <v>10.239166666666664</v>
      </c>
      <c r="AO74" s="167">
        <f t="shared" ref="AO74:AO91" ca="1" si="110">IF((INDEX($AA$4:$AA$7,MATCH(INDOOR_4,$Z$4:$Z$7))*(INDEX($X$27:$X$46,MATCH($AD74,$W$27:$W$46,1))/(INDEX($AA$4:$AA$7,MATCH(INDOOR_1,$Z$4:$Z$7))+INDEX($AA$4:$AA$7,MATCH(INDOOR_2,$Z$4:$Z$7))+INDEX($AA$4:$AA$7,MATCH(INDOOR_3,$Z$4:$Z$7))+INDEX($AA$4:$AA$7,MATCH(INDOOR_4,$Z$4:$Z$7)))))
&gt;AU74,AU74,
(INDEX($AA$4:$AA$7,MATCH(INDOOR_4,$Z$4:$Z$7))*(INDEX($X$27:$X$46,MATCH($AD74,$W$27:$W$46,1))/(INDEX($AA$4:$AA$7,MATCH(INDOOR_1,$Z$4:$Z$7))+INDEX($AA$4:$AA$7,MATCH(INDOOR_2,$Z$4:$Z$7))+INDEX($AA$4:$AA$7,MATCH(INDOOR_3,$Z$4:$Z$7))+INDEX($AA$4:$AA$7,MATCH(INDOOR_4,$Z$4:$Z$7))))))</f>
        <v>10.239166666666664</v>
      </c>
      <c r="AP74" s="178"/>
      <c r="AQ74" s="169">
        <f t="shared" ca="1" si="70"/>
        <v>41.852444444444444</v>
      </c>
      <c r="AR74" s="170">
        <f ca="1">INDEX('Cap based on indoor unit SZ'!$J$6:$J$21,MATCH(AE74,'Cap based on indoor unit SZ'!$I$6:$I$21))</f>
        <v>10.463111111111111</v>
      </c>
      <c r="AS74" s="170">
        <f ca="1">INDEX('Cap based on indoor unit SZ'!$J$6:$J$21,MATCH(AF74,'Cap based on indoor unit SZ'!$I$6:$I$21))</f>
        <v>10.463111111111111</v>
      </c>
      <c r="AT74" s="170">
        <f ca="1">INDEX('Cap based on indoor unit SZ'!$J$6:$J$21,MATCH(AG74,'Cap based on indoor unit SZ'!$I$6:$I$21))</f>
        <v>10.463111111111111</v>
      </c>
      <c r="AU74" s="170">
        <f ca="1">INDEX('Cap based on indoor unit SZ'!$J$6:$J$21,MATCH(AH74,'Cap based on indoor unit SZ'!$I$6:$I$21))</f>
        <v>10.463111111111111</v>
      </c>
      <c r="AV74" s="179"/>
      <c r="AW74" s="169">
        <f t="shared" si="71"/>
        <v>37</v>
      </c>
      <c r="AX74" s="170">
        <v>9.25</v>
      </c>
      <c r="AY74" s="170">
        <v>9.25</v>
      </c>
      <c r="AZ74" s="170">
        <v>9.25</v>
      </c>
      <c r="BA74" s="170">
        <v>9.25</v>
      </c>
      <c r="BB74" s="179"/>
      <c r="BC74" s="172">
        <f t="shared" ca="1" si="72"/>
        <v>40.956666666666656</v>
      </c>
      <c r="BD74" s="173">
        <f t="shared" ref="BD74:BD91" ca="1" si="111">(INDEX($AA$4:$AA$7,MATCH(AE74,$Z$4:$Z$7))*(INDEX($X$27:$X$46,MATCH($AD74,$W$27:$W$46,1))/(INDEX($AA$4:$AA$7,MATCH($AE74,$Z$4:$Z$7))+INDEX($AA$4:$AA$7,MATCH($AF74,$Z$4:$Z$7))+INDEX($AA$4:$AA$7,MATCH($AG74,$Z$4:$Z$7))+INDEX($AA$4:$AA$7,MATCH($AH74,$Z$4:$Z$7)))))</f>
        <v>10.239166666666664</v>
      </c>
      <c r="BE74" s="173">
        <f t="shared" ref="BE74:BE91" ca="1" si="112">(INDEX($AA$4:$AA$7,MATCH(AF74,$Z$4:$Z$7))*(INDEX($X$27:$X$46,MATCH($AD74,$W$27:$W$46,1))/(INDEX($AA$4:$AA$7,MATCH($AE74,$Z$4:$Z$7))+INDEX($AA$4:$AA$7,MATCH($AF74,$Z$4:$Z$7))+INDEX($AA$4:$AA$7,MATCH($AG74,$Z$4:$Z$7))+INDEX($AA$4:$AA$7,MATCH($AH74,$Z$4:$Z$7)))))</f>
        <v>10.239166666666664</v>
      </c>
      <c r="BF74" s="173">
        <f t="shared" ref="BF74:BF91" ca="1" si="113">(INDEX($AA$4:$AA$7,MATCH(AG74,$Z$4:$Z$7))*(INDEX($X$27:$X$46,MATCH($AD74,$W$27:$W$46,1))/(INDEX($AA$4:$AA$7,MATCH($AE74,$Z$4:$Z$7))+INDEX($AA$4:$AA$7,MATCH($AF74,$Z$4:$Z$7))+INDEX($AA$4:$AA$7,MATCH($AG74,$Z$4:$Z$7))+INDEX($AA$4:$AA$7,MATCH($AH74,$Z$4:$Z$7)))))</f>
        <v>10.239166666666664</v>
      </c>
      <c r="BG74" s="173">
        <f t="shared" ref="BG74:BG91" ca="1" si="114">(INDEX($AA$4:$AA$7,MATCH(AH74,$Z$4:$Z$7))*(INDEX($X$27:$X$46,MATCH($AD74,$W$27:$W$46,1))/(INDEX($AA$4:$AA$7,MATCH($AE74,$Z$4:$Z$7))+INDEX($AA$4:$AA$7,MATCH($AF74,$Z$4:$Z$7))+INDEX($AA$4:$AA$7,MATCH($AG74,$Z$4:$Z$7))+INDEX($AA$4:$AA$7,MATCH($AH74,$Z$4:$Z$7)))))</f>
        <v>10.239166666666664</v>
      </c>
      <c r="BH74" s="180"/>
      <c r="BI74" s="166">
        <f t="shared" ca="1" si="75"/>
        <v>47.824082051282048</v>
      </c>
      <c r="BJ74" s="167">
        <f t="shared" ref="BJ74:BJ91" ca="1" si="115">IF((INDEX($AA$4:$AA$7,MATCH(INDOOR_1,$Z$4:$Z$7))*(INDEX($X$118:$X$137,MATCH($AD74,$W$118:$W$137,1))/(INDEX($AA$4:$AA$7,MATCH(INDOOR_1,$Z$4:$Z$7))+INDEX($AA$4:$AA$7,MATCH(INDOOR_2,$Z$4:$Z$7))+INDEX($AA$4:$AA$7,MATCH(INDOOR_3,$Z$4:$Z$7))+INDEX($AA$4:$AA$7,MATCH(INDOOR_4,$Z$4:$Z$7)))))
&gt;BP74,BP74,
(INDEX($AA$4:$AA$7,MATCH(INDOOR_1,$Z$4:$Z$7))*(INDEX($X$118:$X$137,MATCH($AD74,$W$118:$W$137,1))/(INDEX($AA$4:$AA$7,MATCH(INDOOR_1,$Z$4:$Z$7))+INDEX($AA$4:$AA$7,MATCH(INDOOR_2,$Z$4:$Z$7))+INDEX($AA$4:$AA$7,MATCH(INDOOR_3,$Z$4:$Z$7))+INDEX($AA$4:$AA$7,MATCH(INDOOR_4,$Z$4:$Z$7))))))</f>
        <v>11.956020512820512</v>
      </c>
      <c r="BK74" s="167">
        <f t="shared" ref="BK74:BK91" ca="1" si="116">IF((INDEX($AA$4:$AA$7,MATCH(INDOOR_2,$Z$4:$Z$7))*(INDEX($X$118:$X$137,MATCH($AD74,$W$118:$W$137,1))/(INDEX($AA$4:$AA$7,MATCH(INDOOR_1,$Z$4:$Z$7))+INDEX($AA$4:$AA$7,MATCH(INDOOR_2,$Z$4:$Z$7))+INDEX($AA$4:$AA$7,MATCH(INDOOR_3,$Z$4:$Z$7))+INDEX($AA$4:$AA$7,MATCH(INDOOR_4,$Z$4:$Z$7)))))
&gt;BQ74,BQ74,
(INDEX($AA$4:$AA$7,MATCH(INDOOR_2,$Z$4:$Z$7))*(INDEX($X$118:$X$137,MATCH($AD74,$W$118:$W$137,1))/(INDEX($AA$4:$AA$7,MATCH(INDOOR_1,$Z$4:$Z$7))+INDEX($AA$4:$AA$7,MATCH(INDOOR_2,$Z$4:$Z$7))+INDEX($AA$4:$AA$7,MATCH(INDOOR_3,$Z$4:$Z$7))+INDEX($AA$4:$AA$7,MATCH(INDOOR_4,$Z$4:$Z$7))))))</f>
        <v>11.956020512820512</v>
      </c>
      <c r="BL74" s="167">
        <f t="shared" ref="BL74:BL91" ca="1" si="117">IF((INDEX($AA$4:$AA$7,MATCH(INDOOR_3,$Z$4:$Z$7))*(INDEX($X$118:$X$137,MATCH($AD74,$W$118:$W$137,1))/(INDEX($AA$4:$AA$7,MATCH(INDOOR_1,$Z$4:$Z$7))+INDEX($AA$4:$AA$7,MATCH(INDOOR_2,$Z$4:$Z$7))+INDEX($AA$4:$AA$7,MATCH(INDOOR_3,$Z$4:$Z$7))+INDEX($AA$4:$AA$7,MATCH(INDOOR_4,$Z$4:$Z$7)))))
&gt;BR74,BR74,
(INDEX($AA$4:$AA$7,MATCH(INDOOR_3,$Z$4:$Z$7))*(INDEX($X$118:$X$137,MATCH($AD74,$W$118:$W$137,1))/(INDEX($AA$4:$AA$7,MATCH(INDOOR_1,$Z$4:$Z$7))+INDEX($AA$4:$AA$7,MATCH(INDOOR_2,$Z$4:$Z$7))+INDEX($AA$4:$AA$7,MATCH(INDOOR_3,$Z$4:$Z$7))+INDEX($AA$4:$AA$7,MATCH(INDOOR_4,$Z$4:$Z$7))))))</f>
        <v>11.956020512820512</v>
      </c>
      <c r="BM74" s="167">
        <f t="shared" ref="BM74:BM91" ca="1" si="118">IF((INDEX($AA$4:$AA$7,MATCH(INDOOR_4,$Z$4:$Z$7))*(INDEX($X$118:$X$137,MATCH($AD74,$W$118:$W$137,1))/(INDEX($AA$4:$AA$7,MATCH(INDOOR_1,$Z$4:$Z$7))+INDEX($AA$4:$AA$7,MATCH(INDOOR_2,$Z$4:$Z$7))+INDEX($AA$4:$AA$7,MATCH(INDOOR_3,$Z$4:$Z$7))+INDEX($AA$4:$AA$7,MATCH(INDOOR_4,$Z$4:$Z$7)))))
&gt;BS74,BS74,
(INDEX($AA$4:$AA$7,MATCH(INDOOR_4,$Z$4:$Z$7))*(INDEX($X$118:$X$137,MATCH($AD74,$W$118:$W$137,1))/(INDEX($AA$4:$AA$7,MATCH(INDOOR_1,$Z$4:$Z$7))+INDEX($AA$4:$AA$7,MATCH(INDOOR_2,$Z$4:$Z$7))+INDEX($AA$4:$AA$7,MATCH(INDOOR_3,$Z$4:$Z$7))+INDEX($AA$4:$AA$7,MATCH(INDOOR_4,$Z$4:$Z$7))))))</f>
        <v>11.956020512820512</v>
      </c>
      <c r="BN74" s="178"/>
      <c r="BO74" s="169">
        <f t="shared" ca="1" si="78"/>
        <v>47.824082051282048</v>
      </c>
      <c r="BP74" s="170">
        <f ca="1">INDEX('Cap based on indoor unit SZ'!$V$43:$V$58,MATCH(AE74,'Cap based on indoor unit SZ'!$U$43:$U$58))</f>
        <v>11.956020512820512</v>
      </c>
      <c r="BQ74" s="170">
        <f ca="1">INDEX('Cap based on indoor unit SZ'!$V$43:$V$58,MATCH(AF74,'Cap based on indoor unit SZ'!$U$43:$U$58))</f>
        <v>11.956020512820512</v>
      </c>
      <c r="BR74" s="170">
        <f ca="1">INDEX('Cap based on indoor unit SZ'!$V$43:$V$58,MATCH(AG74,'Cap based on indoor unit SZ'!$U$43:$U$58))</f>
        <v>11.956020512820512</v>
      </c>
      <c r="BS74" s="170">
        <f ca="1">INDEX('Cap based on indoor unit SZ'!$V$43:$V$58,MATCH(AH74,'Cap based on indoor unit SZ'!$U$43:$U$58))</f>
        <v>11.956020512820512</v>
      </c>
      <c r="BT74" s="179"/>
      <c r="BU74" s="175">
        <v>9500</v>
      </c>
      <c r="BV74" s="175">
        <v>9500</v>
      </c>
      <c r="BW74" s="175">
        <v>9500</v>
      </c>
      <c r="BX74" s="175">
        <v>9500</v>
      </c>
      <c r="BY74" s="179"/>
      <c r="BZ74" s="172">
        <f t="shared" ca="1" si="79"/>
        <v>50.32039316239316</v>
      </c>
      <c r="CA74" s="173">
        <f t="shared" ref="CA74:CA91" ca="1" si="119">(INDEX($AA$4:$AA$7,MATCH(INDOOR_1,$Z$4:$Z$7))*(INDEX($X$118:$X$137,MATCH($AD74,$W$118:$W$137,1))/(INDEX($AA$4:$AA$7,MATCH(INDOOR_1,$Z$4:$Z$7))+INDEX($AA$4:$AA$7,MATCH(INDOOR_2,$Z$4:$Z$7))+INDEX($AA$4:$AA$7,MATCH(INDOOR_3,$Z$4:$Z$7))+INDEX($AA$4:$AA$7,MATCH(INDOOR_4,$Z$4:$Z$7)))))</f>
        <v>12.58009829059829</v>
      </c>
      <c r="CB74" s="173">
        <f t="shared" ref="CB74:CB91" ca="1" si="120">(INDEX($AA$4:$AA$7,MATCH(INDOOR_2,$Z$4:$Z$7))*(INDEX($X$118:$X$137,MATCH($AD74,$W$118:$W$137,1))/(INDEX($AA$4:$AA$7,MATCH(INDOOR_1,$Z$4:$Z$7))+INDEX($AA$4:$AA$7,MATCH(INDOOR_2,$Z$4:$Z$7))+INDEX($AA$4:$AA$7,MATCH(INDOOR_3,$Z$4:$Z$7))+INDEX($AA$4:$AA$7,MATCH(INDOOR_4,$Z$4:$Z$7)))))</f>
        <v>12.58009829059829</v>
      </c>
      <c r="CC74" s="173">
        <f t="shared" ref="CC74:CC91" ca="1" si="121">(INDEX($AA$4:$AA$7,MATCH(INDOOR_3,$Z$4:$Z$7))*(INDEX($X$118:$X$137,MATCH($AD74,$W$118:$W$137,1))/(INDEX($AA$4:$AA$7,MATCH(INDOOR_1,$Z$4:$Z$7))+INDEX($AA$4:$AA$7,MATCH(INDOOR_2,$Z$4:$Z$7))+INDEX($AA$4:$AA$7,MATCH(INDOOR_3,$Z$4:$Z$7))+INDEX($AA$4:$AA$7,MATCH(INDOOR_4,$Z$4:$Z$7)))))</f>
        <v>12.58009829059829</v>
      </c>
      <c r="CD74" s="173">
        <f t="shared" ref="CD74:CD91" ca="1" si="122">(INDEX($AA$4:$AA$7,MATCH(INDOOR_4,$Z$4:$Z$7))*(INDEX($X$118:$X$137,MATCH($AD74,$W$118:$W$137,1))/(INDEX($AA$4:$AA$7,MATCH(INDOOR_1,$Z$4:$Z$7))+INDEX($AA$4:$AA$7,MATCH(INDOOR_2,$Z$4:$Z$7))+INDEX($AA$4:$AA$7,MATCH(INDOOR_3,$Z$4:$Z$7))+INDEX($AA$4:$AA$7,MATCH(INDOOR_4,$Z$4:$Z$7)))))</f>
        <v>12.58009829059829</v>
      </c>
      <c r="CE74" s="180"/>
      <c r="CF74" s="166">
        <f t="shared" ca="1" si="82"/>
        <v>35.034876164206686</v>
      </c>
      <c r="CG74" s="167">
        <f t="shared" ca="1" si="83"/>
        <v>8.7587190410516715</v>
      </c>
      <c r="CH74" s="167">
        <f t="shared" ca="1" si="84"/>
        <v>8.7587190410516715</v>
      </c>
      <c r="CI74" s="167">
        <f t="shared" ca="1" si="97"/>
        <v>8.7587190410516715</v>
      </c>
      <c r="CJ74" s="167">
        <f t="shared" ref="CJ74:CJ91" ca="1" si="123">AO74*(INDEX($X$67:$X$86,MATCH($AD74,$W$67:$W$86,1)))</f>
        <v>8.7587190410516715</v>
      </c>
      <c r="CK74" s="178"/>
    </row>
    <row r="75" spans="2:89">
      <c r="B75" s="188">
        <v>30</v>
      </c>
      <c r="C75" s="189">
        <v>69.8</v>
      </c>
      <c r="D75" s="189">
        <v>59</v>
      </c>
      <c r="E75" s="190" t="s">
        <v>109</v>
      </c>
      <c r="F75" s="219">
        <f t="shared" ref="F75:Q75" si="124">F55/F35</f>
        <v>0.69987228607918262</v>
      </c>
      <c r="G75" s="220">
        <f t="shared" si="124"/>
        <v>0.69990029910269191</v>
      </c>
      <c r="H75" s="220">
        <f t="shared" si="124"/>
        <v>0.70009930486593841</v>
      </c>
      <c r="I75" s="220">
        <f t="shared" si="124"/>
        <v>0.70005058168942846</v>
      </c>
      <c r="J75" s="220">
        <f t="shared" si="124"/>
        <v>0.70010209290454317</v>
      </c>
      <c r="K75" s="220">
        <f t="shared" si="124"/>
        <v>0.75006125949522173</v>
      </c>
      <c r="L75" s="219">
        <f t="shared" si="124"/>
        <v>0.79341543101281731</v>
      </c>
      <c r="M75" s="219">
        <f t="shared" si="124"/>
        <v>0.80911005792522384</v>
      </c>
      <c r="N75" s="219">
        <f t="shared" si="124"/>
        <v>0.82577433628318586</v>
      </c>
      <c r="O75" s="219">
        <f t="shared" si="124"/>
        <v>0.9358383551931938</v>
      </c>
      <c r="P75" s="219">
        <f t="shared" si="124"/>
        <v>0.98569277108433739</v>
      </c>
      <c r="Q75" s="221">
        <f t="shared" si="124"/>
        <v>0.98550724637681164</v>
      </c>
      <c r="R75" s="222">
        <f t="shared" ca="1" si="99"/>
        <v>0.82577433628318575</v>
      </c>
      <c r="S75" s="145"/>
      <c r="T75" s="145"/>
      <c r="U75" s="146" t="s">
        <v>96</v>
      </c>
      <c r="V75" s="150">
        <f ca="1">FORECAST(INDOOR_DB,OFFSET(R75:R78,MATCH(INDOOR_DB,C75:C78,1)-1,0,2),OFFSET(C75:C78,MATCH(INDOOR_DB,C75:C78,1)-1,0,2))</f>
        <v>0.79999705349641159</v>
      </c>
      <c r="W75" s="145">
        <f>B75</f>
        <v>30</v>
      </c>
      <c r="X75" s="150">
        <f ca="1">IF(OR(INDOOR_DB&lt;C75,INDOOR_DB&gt;C78),V77,V75)</f>
        <v>0.79999705349641159</v>
      </c>
      <c r="Y75" s="152"/>
      <c r="AC75" s="164" t="s">
        <v>161</v>
      </c>
      <c r="AD75" s="164">
        <v>36</v>
      </c>
      <c r="AE75" s="165">
        <v>9</v>
      </c>
      <c r="AF75" s="165">
        <v>9</v>
      </c>
      <c r="AG75" s="165">
        <v>9</v>
      </c>
      <c r="AH75" s="164">
        <v>12</v>
      </c>
      <c r="AI75" s="164"/>
      <c r="AJ75" s="501"/>
      <c r="AK75" s="166">
        <f t="shared" ca="1" si="67"/>
        <v>40.956666666666656</v>
      </c>
      <c r="AL75" s="167">
        <f t="shared" ca="1" si="107"/>
        <v>9.4515384615384601</v>
      </c>
      <c r="AM75" s="167">
        <f t="shared" ca="1" si="108"/>
        <v>9.4515384615384601</v>
      </c>
      <c r="AN75" s="167">
        <f t="shared" ca="1" si="109"/>
        <v>9.4515384615384601</v>
      </c>
      <c r="AO75" s="167">
        <f t="shared" ca="1" si="110"/>
        <v>12.60205128205128</v>
      </c>
      <c r="AP75" s="178"/>
      <c r="AQ75" s="169">
        <f t="shared" ca="1" si="70"/>
        <v>44.468222222222224</v>
      </c>
      <c r="AR75" s="170">
        <f ca="1">INDEX('Cap based on indoor unit SZ'!$J$6:$J$21,MATCH(AE75,'Cap based on indoor unit SZ'!$I$6:$I$21))</f>
        <v>10.463111111111111</v>
      </c>
      <c r="AS75" s="170">
        <f ca="1">INDEX('Cap based on indoor unit SZ'!$J$6:$J$21,MATCH(AF75,'Cap based on indoor unit SZ'!$I$6:$I$21))</f>
        <v>10.463111111111111</v>
      </c>
      <c r="AT75" s="170">
        <f ca="1">INDEX('Cap based on indoor unit SZ'!$J$6:$J$21,MATCH(AG75,'Cap based on indoor unit SZ'!$I$6:$I$21))</f>
        <v>10.463111111111111</v>
      </c>
      <c r="AU75" s="170">
        <f ca="1">INDEX('Cap based on indoor unit SZ'!$J$6:$J$21,MATCH(AH75,'Cap based on indoor unit SZ'!$I$6:$I$21))</f>
        <v>13.078888888888891</v>
      </c>
      <c r="AV75" s="179"/>
      <c r="AW75" s="169">
        <f t="shared" si="71"/>
        <v>39</v>
      </c>
      <c r="AX75" s="170">
        <v>9</v>
      </c>
      <c r="AY75" s="170">
        <v>9</v>
      </c>
      <c r="AZ75" s="170">
        <v>9</v>
      </c>
      <c r="BA75" s="170">
        <v>12</v>
      </c>
      <c r="BB75" s="179"/>
      <c r="BC75" s="172">
        <f t="shared" ca="1" si="72"/>
        <v>40.956666666666656</v>
      </c>
      <c r="BD75" s="173">
        <f t="shared" ca="1" si="111"/>
        <v>9.4515384615384601</v>
      </c>
      <c r="BE75" s="173">
        <f t="shared" ca="1" si="112"/>
        <v>9.4515384615384601</v>
      </c>
      <c r="BF75" s="173">
        <f t="shared" ca="1" si="113"/>
        <v>9.4515384615384601</v>
      </c>
      <c r="BG75" s="173">
        <f t="shared" ca="1" si="114"/>
        <v>12.60205128205128</v>
      </c>
      <c r="BH75" s="180"/>
      <c r="BI75" s="166">
        <f t="shared" ca="1" si="75"/>
        <v>49.782220907297827</v>
      </c>
      <c r="BJ75" s="167">
        <f t="shared" ca="1" si="115"/>
        <v>11.612398422090729</v>
      </c>
      <c r="BK75" s="167">
        <f t="shared" ca="1" si="116"/>
        <v>11.612398422090729</v>
      </c>
      <c r="BL75" s="167">
        <f t="shared" ca="1" si="117"/>
        <v>11.612398422090729</v>
      </c>
      <c r="BM75" s="167">
        <f t="shared" ca="1" si="118"/>
        <v>14.945025641025641</v>
      </c>
      <c r="BN75" s="178"/>
      <c r="BO75" s="169">
        <f t="shared" ca="1" si="78"/>
        <v>50.813087179487169</v>
      </c>
      <c r="BP75" s="170">
        <f ca="1">INDEX('Cap based on indoor unit SZ'!$V$43:$V$58,MATCH(AE75,'Cap based on indoor unit SZ'!$U$43:$U$58))</f>
        <v>11.956020512820512</v>
      </c>
      <c r="BQ75" s="170">
        <f ca="1">INDEX('Cap based on indoor unit SZ'!$V$43:$V$58,MATCH(AF75,'Cap based on indoor unit SZ'!$U$43:$U$58))</f>
        <v>11.956020512820512</v>
      </c>
      <c r="BR75" s="170">
        <f ca="1">INDEX('Cap based on indoor unit SZ'!$V$43:$V$58,MATCH(AG75,'Cap based on indoor unit SZ'!$U$43:$U$58))</f>
        <v>11.956020512820512</v>
      </c>
      <c r="BS75" s="170">
        <f ca="1">INDEX('Cap based on indoor unit SZ'!$V$43:$V$58,MATCH(AH75,'Cap based on indoor unit SZ'!$U$43:$U$58))</f>
        <v>14.945025641025641</v>
      </c>
      <c r="BT75" s="179"/>
      <c r="BU75" s="175">
        <v>9500</v>
      </c>
      <c r="BV75" s="175">
        <v>9500</v>
      </c>
      <c r="BW75" s="175">
        <v>9500</v>
      </c>
      <c r="BX75" s="175">
        <v>12500</v>
      </c>
      <c r="BY75" s="179"/>
      <c r="BZ75" s="172">
        <f t="shared" ca="1" si="79"/>
        <v>50.32039316239316</v>
      </c>
      <c r="CA75" s="173">
        <f t="shared" ca="1" si="119"/>
        <v>11.612398422090729</v>
      </c>
      <c r="CB75" s="173">
        <f t="shared" ca="1" si="120"/>
        <v>11.612398422090729</v>
      </c>
      <c r="CC75" s="173">
        <f t="shared" ca="1" si="121"/>
        <v>11.612398422090729</v>
      </c>
      <c r="CD75" s="173">
        <f t="shared" ca="1" si="122"/>
        <v>15.483197896120972</v>
      </c>
      <c r="CE75" s="180"/>
      <c r="CF75" s="166">
        <f t="shared" ca="1" si="82"/>
        <v>35.034876164206693</v>
      </c>
      <c r="CG75" s="167">
        <f t="shared" ca="1" si="83"/>
        <v>8.0849714225092377</v>
      </c>
      <c r="CH75" s="167">
        <f t="shared" ca="1" si="84"/>
        <v>8.0849714225092377</v>
      </c>
      <c r="CI75" s="167">
        <f t="shared" ca="1" si="97"/>
        <v>8.0849714225092377</v>
      </c>
      <c r="CJ75" s="167">
        <f t="shared" ca="1" si="123"/>
        <v>10.779961896678982</v>
      </c>
      <c r="CK75" s="178"/>
    </row>
    <row r="76" spans="2:89">
      <c r="B76" s="196">
        <v>30</v>
      </c>
      <c r="C76" s="197">
        <v>75.2</v>
      </c>
      <c r="D76" s="197">
        <v>62.6</v>
      </c>
      <c r="E76" s="198" t="s">
        <v>109</v>
      </c>
      <c r="F76" s="223">
        <f t="shared" ref="F76:Q76" si="125">F56/F36</f>
        <v>0.70014880952380953</v>
      </c>
      <c r="G76" s="224">
        <f t="shared" si="125"/>
        <v>0.70014520813165537</v>
      </c>
      <c r="H76" s="224">
        <f t="shared" si="125"/>
        <v>0.69992769342010119</v>
      </c>
      <c r="I76" s="224">
        <f t="shared" si="125"/>
        <v>0.69997544807267376</v>
      </c>
      <c r="J76" s="224">
        <f t="shared" si="125"/>
        <v>0.69995044598612488</v>
      </c>
      <c r="K76" s="224">
        <f t="shared" si="125"/>
        <v>0.7501784439685939</v>
      </c>
      <c r="L76" s="223">
        <f t="shared" si="125"/>
        <v>0.81996133397776694</v>
      </c>
      <c r="M76" s="223">
        <f t="shared" si="125"/>
        <v>0.88005850804485608</v>
      </c>
      <c r="N76" s="223">
        <f t="shared" si="125"/>
        <v>0.90012804097311139</v>
      </c>
      <c r="O76" s="223">
        <f t="shared" si="125"/>
        <v>0.91992123400065651</v>
      </c>
      <c r="P76" s="223">
        <f t="shared" si="125"/>
        <v>0.95013947001394705</v>
      </c>
      <c r="Q76" s="225">
        <f t="shared" si="125"/>
        <v>0.97987371744277818</v>
      </c>
      <c r="R76" s="226">
        <f t="shared" ca="1" si="99"/>
        <v>0.90012804097311128</v>
      </c>
      <c r="S76" s="152"/>
      <c r="T76" s="152"/>
      <c r="U76" s="146"/>
      <c r="V76" s="151"/>
      <c r="W76" s="145"/>
      <c r="X76" s="227"/>
      <c r="Y76" s="152"/>
      <c r="AC76" s="164" t="s">
        <v>160</v>
      </c>
      <c r="AD76" s="164">
        <v>36</v>
      </c>
      <c r="AE76" s="165">
        <v>9</v>
      </c>
      <c r="AF76" s="165">
        <v>9</v>
      </c>
      <c r="AG76" s="165">
        <v>9</v>
      </c>
      <c r="AH76" s="164">
        <v>18</v>
      </c>
      <c r="AI76" s="164"/>
      <c r="AJ76" s="501"/>
      <c r="AK76" s="166">
        <f t="shared" ca="1" si="67"/>
        <v>40.956666666666649</v>
      </c>
      <c r="AL76" s="167">
        <f t="shared" ca="1" si="107"/>
        <v>8.1913333333333309</v>
      </c>
      <c r="AM76" s="167">
        <f t="shared" ca="1" si="108"/>
        <v>8.1913333333333309</v>
      </c>
      <c r="AN76" s="167">
        <f t="shared" ca="1" si="109"/>
        <v>8.1913333333333309</v>
      </c>
      <c r="AO76" s="167">
        <f t="shared" ca="1" si="110"/>
        <v>16.382666666666662</v>
      </c>
      <c r="AP76" s="178"/>
      <c r="AQ76" s="169">
        <f t="shared" ca="1" si="70"/>
        <v>51.210444444444448</v>
      </c>
      <c r="AR76" s="170">
        <f ca="1">INDEX('Cap based on indoor unit SZ'!$J$6:$J$21,MATCH(AE76,'Cap based on indoor unit SZ'!$I$6:$I$21))</f>
        <v>10.463111111111111</v>
      </c>
      <c r="AS76" s="170">
        <f ca="1">INDEX('Cap based on indoor unit SZ'!$J$6:$J$21,MATCH(AF76,'Cap based on indoor unit SZ'!$I$6:$I$21))</f>
        <v>10.463111111111111</v>
      </c>
      <c r="AT76" s="170">
        <f ca="1">INDEX('Cap based on indoor unit SZ'!$J$6:$J$21,MATCH(AG76,'Cap based on indoor unit SZ'!$I$6:$I$21))</f>
        <v>10.463111111111111</v>
      </c>
      <c r="AU76" s="170">
        <f ca="1">INDEX('Cap based on indoor unit SZ'!$J$6:$J$21,MATCH(AH76,'Cap based on indoor unit SZ'!$I$6:$I$21))</f>
        <v>19.821111111111112</v>
      </c>
      <c r="AV76" s="179"/>
      <c r="AW76" s="169">
        <f t="shared" si="71"/>
        <v>44</v>
      </c>
      <c r="AX76" s="170">
        <v>9</v>
      </c>
      <c r="AY76" s="170">
        <v>9</v>
      </c>
      <c r="AZ76" s="170">
        <v>9</v>
      </c>
      <c r="BA76" s="170">
        <v>17</v>
      </c>
      <c r="BB76" s="179"/>
      <c r="BC76" s="172">
        <f t="shared" ca="1" si="72"/>
        <v>40.956666666666649</v>
      </c>
      <c r="BD76" s="173">
        <f t="shared" ca="1" si="111"/>
        <v>8.1913333333333309</v>
      </c>
      <c r="BE76" s="173">
        <f t="shared" ca="1" si="112"/>
        <v>8.1913333333333309</v>
      </c>
      <c r="BF76" s="173">
        <f t="shared" ca="1" si="113"/>
        <v>8.1913333333333309</v>
      </c>
      <c r="BG76" s="173">
        <f t="shared" ca="1" si="114"/>
        <v>16.382666666666662</v>
      </c>
      <c r="BH76" s="180"/>
      <c r="BI76" s="166">
        <f t="shared" ca="1" si="75"/>
        <v>50.32039316239316</v>
      </c>
      <c r="BJ76" s="167">
        <f t="shared" ca="1" si="115"/>
        <v>10.064078632478632</v>
      </c>
      <c r="BK76" s="167">
        <f t="shared" ca="1" si="116"/>
        <v>10.064078632478632</v>
      </c>
      <c r="BL76" s="167">
        <f t="shared" ca="1" si="117"/>
        <v>10.064078632478632</v>
      </c>
      <c r="BM76" s="167">
        <f t="shared" ca="1" si="118"/>
        <v>20.128157264957263</v>
      </c>
      <c r="BN76" s="178"/>
      <c r="BO76" s="169">
        <f t="shared" ca="1" si="78"/>
        <v>60.466882051282042</v>
      </c>
      <c r="BP76" s="170">
        <f ca="1">INDEX('Cap based on indoor unit SZ'!$V$43:$V$58,MATCH(AE76,'Cap based on indoor unit SZ'!$U$43:$U$58))</f>
        <v>11.956020512820512</v>
      </c>
      <c r="BQ76" s="170">
        <f ca="1">INDEX('Cap based on indoor unit SZ'!$V$43:$V$58,MATCH(AF76,'Cap based on indoor unit SZ'!$U$43:$U$58))</f>
        <v>11.956020512820512</v>
      </c>
      <c r="BR76" s="170">
        <f ca="1">INDEX('Cap based on indoor unit SZ'!$V$43:$V$58,MATCH(AG76,'Cap based on indoor unit SZ'!$U$43:$U$58))</f>
        <v>11.956020512820512</v>
      </c>
      <c r="BS76" s="170">
        <f ca="1">INDEX('Cap based on indoor unit SZ'!$V$43:$V$58,MATCH(AH76,'Cap based on indoor unit SZ'!$U$43:$U$58))</f>
        <v>24.598820512820513</v>
      </c>
      <c r="BT76" s="179"/>
      <c r="BU76" s="175">
        <v>9500</v>
      </c>
      <c r="BV76" s="175">
        <v>9500</v>
      </c>
      <c r="BW76" s="175">
        <v>9500</v>
      </c>
      <c r="BX76" s="175">
        <v>17500</v>
      </c>
      <c r="BY76" s="179"/>
      <c r="BZ76" s="172">
        <f t="shared" ca="1" si="79"/>
        <v>50.32039316239316</v>
      </c>
      <c r="CA76" s="173">
        <f t="shared" ca="1" si="119"/>
        <v>10.064078632478632</v>
      </c>
      <c r="CB76" s="173">
        <f t="shared" ca="1" si="120"/>
        <v>10.064078632478632</v>
      </c>
      <c r="CC76" s="173">
        <f t="shared" ca="1" si="121"/>
        <v>10.064078632478632</v>
      </c>
      <c r="CD76" s="173">
        <f t="shared" ca="1" si="122"/>
        <v>20.128157264957263</v>
      </c>
      <c r="CE76" s="180"/>
      <c r="CF76" s="166">
        <f t="shared" ca="1" si="82"/>
        <v>35.034876164206693</v>
      </c>
      <c r="CG76" s="167">
        <f t="shared" ca="1" si="83"/>
        <v>7.0069752328413379</v>
      </c>
      <c r="CH76" s="167">
        <f t="shared" ca="1" si="84"/>
        <v>7.0069752328413379</v>
      </c>
      <c r="CI76" s="167">
        <f t="shared" ca="1" si="97"/>
        <v>7.0069752328413379</v>
      </c>
      <c r="CJ76" s="167">
        <f t="shared" ca="1" si="123"/>
        <v>14.013950465682676</v>
      </c>
      <c r="CK76" s="178"/>
    </row>
    <row r="77" spans="2:89">
      <c r="B77" s="196">
        <v>30</v>
      </c>
      <c r="C77" s="197">
        <v>80.599999999999994</v>
      </c>
      <c r="D77" s="197">
        <v>66.2</v>
      </c>
      <c r="E77" s="198" t="s">
        <v>109</v>
      </c>
      <c r="F77" s="223">
        <f t="shared" ref="F77:Q77" si="126">F57/F37</f>
        <v>0.69997568684658396</v>
      </c>
      <c r="G77" s="224">
        <f t="shared" si="126"/>
        <v>0.70011862396204039</v>
      </c>
      <c r="H77" s="224">
        <f t="shared" si="126"/>
        <v>0.7000705716302047</v>
      </c>
      <c r="I77" s="224">
        <f t="shared" si="126"/>
        <v>0.70007040600797932</v>
      </c>
      <c r="J77" s="224">
        <f t="shared" si="126"/>
        <v>0.7</v>
      </c>
      <c r="K77" s="224">
        <f t="shared" si="126"/>
        <v>0.75005867167331619</v>
      </c>
      <c r="L77" s="223">
        <f t="shared" si="126"/>
        <v>0.76161282716340484</v>
      </c>
      <c r="M77" s="223">
        <f t="shared" si="126"/>
        <v>0.77405857740585771</v>
      </c>
      <c r="N77" s="223">
        <f t="shared" si="126"/>
        <v>0.78748068006182381</v>
      </c>
      <c r="O77" s="223">
        <f t="shared" si="126"/>
        <v>0.87970158532794529</v>
      </c>
      <c r="P77" s="223">
        <f t="shared" si="126"/>
        <v>0.99048244174597966</v>
      </c>
      <c r="Q77" s="225">
        <f t="shared" si="126"/>
        <v>0.9898292771521976</v>
      </c>
      <c r="R77" s="226">
        <f t="shared" ca="1" si="99"/>
        <v>0.78748068006182392</v>
      </c>
      <c r="S77" s="152"/>
      <c r="T77" s="152"/>
      <c r="U77" s="146" t="s">
        <v>97</v>
      </c>
      <c r="V77" s="150">
        <f ca="1">TREND(R75:R78,C75:C78,INDOOR_DB)</f>
        <v>0.85590353565047095</v>
      </c>
      <c r="W77" s="145"/>
      <c r="X77" s="227"/>
      <c r="Y77" s="152"/>
      <c r="AC77" s="164" t="s">
        <v>159</v>
      </c>
      <c r="AD77" s="164">
        <v>36</v>
      </c>
      <c r="AE77" s="165">
        <v>9</v>
      </c>
      <c r="AF77" s="165">
        <v>9</v>
      </c>
      <c r="AG77" s="165">
        <v>9</v>
      </c>
      <c r="AH77" s="164">
        <v>24</v>
      </c>
      <c r="AI77" s="164"/>
      <c r="AJ77" s="501"/>
      <c r="AK77" s="166">
        <f t="shared" ca="1" si="67"/>
        <v>40.956666666666663</v>
      </c>
      <c r="AL77" s="167">
        <f t="shared" ca="1" si="107"/>
        <v>7.2276470588235284</v>
      </c>
      <c r="AM77" s="167">
        <f t="shared" ca="1" si="108"/>
        <v>7.2276470588235284</v>
      </c>
      <c r="AN77" s="167">
        <f t="shared" ca="1" si="109"/>
        <v>7.2276470588235284</v>
      </c>
      <c r="AO77" s="167">
        <f t="shared" ca="1" si="110"/>
        <v>19.273725490196075</v>
      </c>
      <c r="AP77" s="178"/>
      <c r="AQ77" s="169">
        <f t="shared" ca="1" si="70"/>
        <v>55.841555555555551</v>
      </c>
      <c r="AR77" s="170">
        <f ca="1">INDEX('Cap based on indoor unit SZ'!$J$6:$J$21,MATCH(AE77,'Cap based on indoor unit SZ'!$I$6:$I$21))</f>
        <v>10.463111111111111</v>
      </c>
      <c r="AS77" s="170">
        <f ca="1">INDEX('Cap based on indoor unit SZ'!$J$6:$J$21,MATCH(AF77,'Cap based on indoor unit SZ'!$I$6:$I$21))</f>
        <v>10.463111111111111</v>
      </c>
      <c r="AT77" s="170">
        <f ca="1">INDEX('Cap based on indoor unit SZ'!$J$6:$J$21,MATCH(AG77,'Cap based on indoor unit SZ'!$I$6:$I$21))</f>
        <v>10.463111111111111</v>
      </c>
      <c r="AU77" s="170">
        <f ca="1">INDEX('Cap based on indoor unit SZ'!$J$6:$J$21,MATCH(AH77,'Cap based on indoor unit SZ'!$I$6:$I$21))</f>
        <v>24.452222222222218</v>
      </c>
      <c r="AV77" s="179"/>
      <c r="AW77" s="169">
        <f t="shared" si="71"/>
        <v>46</v>
      </c>
      <c r="AX77" s="170">
        <v>8.5</v>
      </c>
      <c r="AY77" s="170">
        <v>8.5</v>
      </c>
      <c r="AZ77" s="170">
        <v>8.5</v>
      </c>
      <c r="BA77" s="170">
        <v>20.5</v>
      </c>
      <c r="BB77" s="179"/>
      <c r="BC77" s="172">
        <f t="shared" ca="1" si="72"/>
        <v>40.956666666666663</v>
      </c>
      <c r="BD77" s="173">
        <f t="shared" ca="1" si="111"/>
        <v>7.2276470588235284</v>
      </c>
      <c r="BE77" s="173">
        <f t="shared" ca="1" si="112"/>
        <v>7.2276470588235284</v>
      </c>
      <c r="BF77" s="173">
        <f t="shared" ca="1" si="113"/>
        <v>7.2276470588235284</v>
      </c>
      <c r="BG77" s="173">
        <f t="shared" ca="1" si="114"/>
        <v>19.273725490196075</v>
      </c>
      <c r="BH77" s="180"/>
      <c r="BI77" s="166">
        <f t="shared" ca="1" si="75"/>
        <v>50.320393162393167</v>
      </c>
      <c r="BJ77" s="167">
        <f t="shared" ca="1" si="115"/>
        <v>8.8800693815987941</v>
      </c>
      <c r="BK77" s="167">
        <f t="shared" ca="1" si="116"/>
        <v>8.8800693815987941</v>
      </c>
      <c r="BL77" s="167">
        <f t="shared" ca="1" si="117"/>
        <v>8.8800693815987941</v>
      </c>
      <c r="BM77" s="167">
        <f t="shared" ca="1" si="118"/>
        <v>23.680185017596784</v>
      </c>
      <c r="BN77" s="178"/>
      <c r="BO77" s="169">
        <f t="shared" ca="1" si="78"/>
        <v>66.158061538461538</v>
      </c>
      <c r="BP77" s="170">
        <f ca="1">INDEX('Cap based on indoor unit SZ'!$V$43:$V$58,MATCH(AE77,'Cap based on indoor unit SZ'!$U$43:$U$58))</f>
        <v>11.956020512820512</v>
      </c>
      <c r="BQ77" s="170">
        <f ca="1">INDEX('Cap based on indoor unit SZ'!$V$43:$V$58,MATCH(AF77,'Cap based on indoor unit SZ'!$U$43:$U$58))</f>
        <v>11.956020512820512</v>
      </c>
      <c r="BR77" s="170">
        <f ca="1">INDEX('Cap based on indoor unit SZ'!$V$43:$V$58,MATCH(AG77,'Cap based on indoor unit SZ'!$U$43:$U$58))</f>
        <v>11.956020512820512</v>
      </c>
      <c r="BS77" s="170">
        <f ca="1">INDEX('Cap based on indoor unit SZ'!$V$43:$V$58,MATCH(AH77,'Cap based on indoor unit SZ'!$U$43:$U$58))</f>
        <v>30.290000000000003</v>
      </c>
      <c r="BT77" s="179"/>
      <c r="BU77" s="175">
        <v>9000</v>
      </c>
      <c r="BV77" s="175">
        <v>9000</v>
      </c>
      <c r="BW77" s="175">
        <v>9000</v>
      </c>
      <c r="BX77" s="175">
        <v>21000</v>
      </c>
      <c r="BY77" s="179"/>
      <c r="BZ77" s="172">
        <f t="shared" ca="1" si="79"/>
        <v>50.320393162393167</v>
      </c>
      <c r="CA77" s="173">
        <f t="shared" ca="1" si="119"/>
        <v>8.8800693815987941</v>
      </c>
      <c r="CB77" s="173">
        <f t="shared" ca="1" si="120"/>
        <v>8.8800693815987941</v>
      </c>
      <c r="CC77" s="173">
        <f t="shared" ca="1" si="121"/>
        <v>8.8800693815987941</v>
      </c>
      <c r="CD77" s="173">
        <f t="shared" ca="1" si="122"/>
        <v>23.680185017596784</v>
      </c>
      <c r="CE77" s="180"/>
      <c r="CF77" s="166">
        <f t="shared" ca="1" si="82"/>
        <v>35.034876164206693</v>
      </c>
      <c r="CG77" s="167">
        <f t="shared" ca="1" si="83"/>
        <v>6.1826252054482405</v>
      </c>
      <c r="CH77" s="167">
        <f t="shared" ca="1" si="84"/>
        <v>6.1826252054482405</v>
      </c>
      <c r="CI77" s="167">
        <f t="shared" ca="1" si="97"/>
        <v>6.1826252054482405</v>
      </c>
      <c r="CJ77" s="167">
        <f t="shared" ca="1" si="123"/>
        <v>16.487000547861971</v>
      </c>
      <c r="CK77" s="178"/>
    </row>
    <row r="78" spans="2:89" ht="14.4" thickBot="1">
      <c r="B78" s="204">
        <v>30</v>
      </c>
      <c r="C78" s="205">
        <v>89.6</v>
      </c>
      <c r="D78" s="205">
        <v>73.400000000000006</v>
      </c>
      <c r="E78" s="206" t="s">
        <v>109</v>
      </c>
      <c r="F78" s="228">
        <f t="shared" ref="F78:Q78" si="127">F58/F38</f>
        <v>0.70029272686331911</v>
      </c>
      <c r="G78" s="229">
        <f t="shared" si="127"/>
        <v>0.7001318101933216</v>
      </c>
      <c r="H78" s="229">
        <f t="shared" si="127"/>
        <v>0.70006534524068842</v>
      </c>
      <c r="I78" s="229">
        <f t="shared" si="127"/>
        <v>0.69991308126901342</v>
      </c>
      <c r="J78" s="229">
        <f t="shared" si="127"/>
        <v>0.70002199252254227</v>
      </c>
      <c r="K78" s="229">
        <f t="shared" si="127"/>
        <v>0.74989135158626674</v>
      </c>
      <c r="L78" s="228">
        <f t="shared" si="127"/>
        <v>0.82008733624454155</v>
      </c>
      <c r="M78" s="228">
        <f t="shared" si="127"/>
        <v>0.87989972652689141</v>
      </c>
      <c r="N78" s="228">
        <f t="shared" si="127"/>
        <v>0.89983305509181966</v>
      </c>
      <c r="O78" s="228">
        <f t="shared" si="127"/>
        <v>0.91997697179044324</v>
      </c>
      <c r="P78" s="228">
        <f t="shared" si="127"/>
        <v>0.94986326344576133</v>
      </c>
      <c r="Q78" s="230">
        <f t="shared" si="127"/>
        <v>1</v>
      </c>
      <c r="R78" s="231">
        <f t="shared" ca="1" si="99"/>
        <v>0.89983305509181966</v>
      </c>
      <c r="S78" s="152"/>
      <c r="T78" s="152"/>
      <c r="U78" s="146"/>
      <c r="V78" s="227"/>
      <c r="W78" s="152"/>
      <c r="X78" s="227"/>
      <c r="Y78" s="152"/>
      <c r="AC78" s="164" t="s">
        <v>158</v>
      </c>
      <c r="AD78" s="164">
        <v>36</v>
      </c>
      <c r="AE78" s="165">
        <v>9</v>
      </c>
      <c r="AF78" s="165">
        <v>9</v>
      </c>
      <c r="AG78" s="165">
        <v>12</v>
      </c>
      <c r="AH78" s="164">
        <v>12</v>
      </c>
      <c r="AI78" s="164"/>
      <c r="AJ78" s="501"/>
      <c r="AK78" s="166">
        <f t="shared" ca="1" si="67"/>
        <v>40.956666666666656</v>
      </c>
      <c r="AL78" s="167">
        <f t="shared" ca="1" si="107"/>
        <v>8.7764285714285695</v>
      </c>
      <c r="AM78" s="167">
        <f t="shared" ca="1" si="108"/>
        <v>8.7764285714285695</v>
      </c>
      <c r="AN78" s="167">
        <f t="shared" ca="1" si="109"/>
        <v>11.701904761904759</v>
      </c>
      <c r="AO78" s="167">
        <f t="shared" ca="1" si="110"/>
        <v>11.701904761904759</v>
      </c>
      <c r="AP78" s="178"/>
      <c r="AQ78" s="169">
        <f t="shared" ca="1" si="70"/>
        <v>47.084000000000003</v>
      </c>
      <c r="AR78" s="170">
        <f ca="1">INDEX('Cap based on indoor unit SZ'!$J$6:$J$21,MATCH(AE78,'Cap based on indoor unit SZ'!$I$6:$I$21))</f>
        <v>10.463111111111111</v>
      </c>
      <c r="AS78" s="170">
        <f ca="1">INDEX('Cap based on indoor unit SZ'!$J$6:$J$21,MATCH(AF78,'Cap based on indoor unit SZ'!$I$6:$I$21))</f>
        <v>10.463111111111111</v>
      </c>
      <c r="AT78" s="170">
        <f ca="1">INDEX('Cap based on indoor unit SZ'!$J$6:$J$21,MATCH(AG78,'Cap based on indoor unit SZ'!$I$6:$I$21))</f>
        <v>13.078888888888891</v>
      </c>
      <c r="AU78" s="170">
        <f ca="1">INDEX('Cap based on indoor unit SZ'!$J$6:$J$21,MATCH(AH78,'Cap based on indoor unit SZ'!$I$6:$I$21))</f>
        <v>13.078888888888891</v>
      </c>
      <c r="AV78" s="179"/>
      <c r="AW78" s="169">
        <f t="shared" si="71"/>
        <v>42</v>
      </c>
      <c r="AX78" s="170">
        <v>9</v>
      </c>
      <c r="AY78" s="170">
        <v>9</v>
      </c>
      <c r="AZ78" s="170">
        <v>12</v>
      </c>
      <c r="BA78" s="170">
        <v>12</v>
      </c>
      <c r="BB78" s="179"/>
      <c r="BC78" s="172">
        <f t="shared" ca="1" si="72"/>
        <v>40.956666666666656</v>
      </c>
      <c r="BD78" s="173">
        <f t="shared" ca="1" si="111"/>
        <v>8.7764285714285695</v>
      </c>
      <c r="BE78" s="173">
        <f t="shared" ca="1" si="112"/>
        <v>8.7764285714285695</v>
      </c>
      <c r="BF78" s="173">
        <f t="shared" ca="1" si="113"/>
        <v>11.701904761904759</v>
      </c>
      <c r="BG78" s="173">
        <f t="shared" ca="1" si="114"/>
        <v>11.701904761904759</v>
      </c>
      <c r="BH78" s="180"/>
      <c r="BI78" s="166">
        <f t="shared" ca="1" si="75"/>
        <v>50.32039316239316</v>
      </c>
      <c r="BJ78" s="167">
        <f t="shared" ca="1" si="115"/>
        <v>10.782941391941392</v>
      </c>
      <c r="BK78" s="167">
        <f t="shared" ca="1" si="116"/>
        <v>10.782941391941392</v>
      </c>
      <c r="BL78" s="167">
        <f t="shared" ca="1" si="117"/>
        <v>14.377255189255189</v>
      </c>
      <c r="BM78" s="167">
        <f t="shared" ca="1" si="118"/>
        <v>14.377255189255189</v>
      </c>
      <c r="BN78" s="178"/>
      <c r="BO78" s="169">
        <f t="shared" ca="1" si="78"/>
        <v>53.802092307692305</v>
      </c>
      <c r="BP78" s="170">
        <f ca="1">INDEX('Cap based on indoor unit SZ'!$V$43:$V$58,MATCH(AE78,'Cap based on indoor unit SZ'!$U$43:$U$58))</f>
        <v>11.956020512820512</v>
      </c>
      <c r="BQ78" s="170">
        <f ca="1">INDEX('Cap based on indoor unit SZ'!$V$43:$V$58,MATCH(AF78,'Cap based on indoor unit SZ'!$U$43:$U$58))</f>
        <v>11.956020512820512</v>
      </c>
      <c r="BR78" s="170">
        <f ca="1">INDEX('Cap based on indoor unit SZ'!$V$43:$V$58,MATCH(AG78,'Cap based on indoor unit SZ'!$U$43:$U$58))</f>
        <v>14.945025641025641</v>
      </c>
      <c r="BS78" s="170">
        <f ca="1">INDEX('Cap based on indoor unit SZ'!$V$43:$V$58,MATCH(AH78,'Cap based on indoor unit SZ'!$U$43:$U$58))</f>
        <v>14.945025641025641</v>
      </c>
      <c r="BT78" s="179"/>
      <c r="BU78" s="175">
        <v>9500</v>
      </c>
      <c r="BV78" s="175">
        <v>9500</v>
      </c>
      <c r="BW78" s="175">
        <v>13000</v>
      </c>
      <c r="BX78" s="175">
        <v>13000</v>
      </c>
      <c r="BY78" s="179"/>
      <c r="BZ78" s="172">
        <f t="shared" ca="1" si="79"/>
        <v>50.32039316239316</v>
      </c>
      <c r="CA78" s="173">
        <f t="shared" ca="1" si="119"/>
        <v>10.782941391941392</v>
      </c>
      <c r="CB78" s="173">
        <f t="shared" ca="1" si="120"/>
        <v>10.782941391941392</v>
      </c>
      <c r="CC78" s="173">
        <f t="shared" ca="1" si="121"/>
        <v>14.377255189255189</v>
      </c>
      <c r="CD78" s="173">
        <f t="shared" ca="1" si="122"/>
        <v>14.377255189255189</v>
      </c>
      <c r="CE78" s="180"/>
      <c r="CF78" s="166">
        <f t="shared" ca="1" si="82"/>
        <v>35.034876164206686</v>
      </c>
      <c r="CG78" s="167">
        <f t="shared" ca="1" si="83"/>
        <v>7.5074734637585765</v>
      </c>
      <c r="CH78" s="167">
        <f t="shared" ca="1" si="84"/>
        <v>7.5074734637585765</v>
      </c>
      <c r="CI78" s="167">
        <f t="shared" ca="1" si="97"/>
        <v>10.009964618344767</v>
      </c>
      <c r="CJ78" s="167">
        <f t="shared" ca="1" si="123"/>
        <v>10.009964618344767</v>
      </c>
      <c r="CK78" s="178"/>
    </row>
    <row r="79" spans="2:89">
      <c r="B79" s="188">
        <v>36</v>
      </c>
      <c r="C79" s="189">
        <v>69.8</v>
      </c>
      <c r="D79" s="189">
        <v>59</v>
      </c>
      <c r="E79" s="190" t="s">
        <v>109</v>
      </c>
      <c r="F79" s="219">
        <f t="shared" ref="F79:Q79" si="128">F59/F39</f>
        <v>0.69989423585404542</v>
      </c>
      <c r="G79" s="220">
        <f t="shared" si="128"/>
        <v>0.69994840041279671</v>
      </c>
      <c r="H79" s="220">
        <f t="shared" si="128"/>
        <v>0.69989561586638827</v>
      </c>
      <c r="I79" s="220">
        <f t="shared" si="128"/>
        <v>0.69989748846745248</v>
      </c>
      <c r="J79" s="220">
        <f t="shared" si="128"/>
        <v>0.72012179649835073</v>
      </c>
      <c r="K79" s="220">
        <f t="shared" si="128"/>
        <v>0.75</v>
      </c>
      <c r="L79" s="219">
        <f t="shared" si="128"/>
        <v>0.78000488878024943</v>
      </c>
      <c r="M79" s="219">
        <f t="shared" si="128"/>
        <v>0.82000542152344813</v>
      </c>
      <c r="N79" s="219">
        <f t="shared" si="128"/>
        <v>0.85016190756549892</v>
      </c>
      <c r="O79" s="219">
        <f t="shared" si="128"/>
        <v>0.87971274685816869</v>
      </c>
      <c r="P79" s="219">
        <f t="shared" si="128"/>
        <v>0.919921875</v>
      </c>
      <c r="Q79" s="221">
        <f t="shared" si="128"/>
        <v>0.96013716245177883</v>
      </c>
      <c r="R79" s="222">
        <f t="shared" ca="1" si="99"/>
        <v>0.85016190756549892</v>
      </c>
      <c r="S79" s="152"/>
      <c r="T79" s="152"/>
      <c r="U79" s="146" t="s">
        <v>96</v>
      </c>
      <c r="V79" s="150">
        <f ca="1">FORECAST(INDOOR_DB,OFFSET(R79:R82,MATCH(INDOOR_DB,C79:C82,1)-1,0,2),OFFSET(C79:C82,MATCH(INDOOR_DB,C79:C82,1)-1,0,2))</f>
        <v>0.85541327006283141</v>
      </c>
      <c r="W79" s="145">
        <f>B79</f>
        <v>36</v>
      </c>
      <c r="X79" s="150">
        <f ca="1">IF(OR(INDOOR_DB&lt;C79,INDOOR_DB&gt;C82),V81,V79)</f>
        <v>0.85541327006283141</v>
      </c>
      <c r="Y79" s="152"/>
      <c r="AC79" s="164" t="s">
        <v>157</v>
      </c>
      <c r="AD79" s="164">
        <v>36</v>
      </c>
      <c r="AE79" s="165">
        <v>9</v>
      </c>
      <c r="AF79" s="165">
        <v>9</v>
      </c>
      <c r="AG79" s="165">
        <v>12</v>
      </c>
      <c r="AH79" s="164">
        <v>18</v>
      </c>
      <c r="AI79" s="164"/>
      <c r="AJ79" s="501"/>
      <c r="AK79" s="166">
        <f t="shared" ca="1" si="67"/>
        <v>40.956666666666663</v>
      </c>
      <c r="AL79" s="167">
        <f t="shared" ca="1" si="107"/>
        <v>7.6793749999999985</v>
      </c>
      <c r="AM79" s="167">
        <f t="shared" ca="1" si="108"/>
        <v>7.6793749999999985</v>
      </c>
      <c r="AN79" s="167">
        <f t="shared" ca="1" si="109"/>
        <v>10.239166666666664</v>
      </c>
      <c r="AO79" s="167">
        <f t="shared" ca="1" si="110"/>
        <v>15.358749999999997</v>
      </c>
      <c r="AP79" s="178"/>
      <c r="AQ79" s="169">
        <f t="shared" ca="1" si="70"/>
        <v>53.826222222222228</v>
      </c>
      <c r="AR79" s="170">
        <f ca="1">INDEX('Cap based on indoor unit SZ'!$J$6:$J$21,MATCH(AE79,'Cap based on indoor unit SZ'!$I$6:$I$21))</f>
        <v>10.463111111111111</v>
      </c>
      <c r="AS79" s="170">
        <f ca="1">INDEX('Cap based on indoor unit SZ'!$J$6:$J$21,MATCH(AF79,'Cap based on indoor unit SZ'!$I$6:$I$21))</f>
        <v>10.463111111111111</v>
      </c>
      <c r="AT79" s="170">
        <f ca="1">INDEX('Cap based on indoor unit SZ'!$J$6:$J$21,MATCH(AG79,'Cap based on indoor unit SZ'!$I$6:$I$21))</f>
        <v>13.078888888888891</v>
      </c>
      <c r="AU79" s="170">
        <f ca="1">INDEX('Cap based on indoor unit SZ'!$J$6:$J$21,MATCH(AH79,'Cap based on indoor unit SZ'!$I$6:$I$21))</f>
        <v>19.821111111111112</v>
      </c>
      <c r="AV79" s="179"/>
      <c r="AW79" s="169">
        <f t="shared" si="71"/>
        <v>45</v>
      </c>
      <c r="AX79" s="170">
        <v>9</v>
      </c>
      <c r="AY79" s="170">
        <v>9</v>
      </c>
      <c r="AZ79" s="170">
        <v>10.5</v>
      </c>
      <c r="BA79" s="170">
        <v>16.5</v>
      </c>
      <c r="BB79" s="179"/>
      <c r="BC79" s="172">
        <f t="shared" ca="1" si="72"/>
        <v>40.956666666666663</v>
      </c>
      <c r="BD79" s="173">
        <f t="shared" ca="1" si="111"/>
        <v>7.6793749999999985</v>
      </c>
      <c r="BE79" s="173">
        <f t="shared" ca="1" si="112"/>
        <v>7.6793749999999985</v>
      </c>
      <c r="BF79" s="173">
        <f t="shared" ca="1" si="113"/>
        <v>10.239166666666664</v>
      </c>
      <c r="BG79" s="173">
        <f t="shared" ca="1" si="114"/>
        <v>15.358749999999997</v>
      </c>
      <c r="BH79" s="180"/>
      <c r="BI79" s="166">
        <f t="shared" ca="1" si="75"/>
        <v>50.32039316239316</v>
      </c>
      <c r="BJ79" s="167">
        <f t="shared" ca="1" si="115"/>
        <v>9.4350737179487183</v>
      </c>
      <c r="BK79" s="167">
        <f t="shared" ca="1" si="116"/>
        <v>9.4350737179487183</v>
      </c>
      <c r="BL79" s="167">
        <f t="shared" ca="1" si="117"/>
        <v>12.58009829059829</v>
      </c>
      <c r="BM79" s="167">
        <f t="shared" ca="1" si="118"/>
        <v>18.870147435897437</v>
      </c>
      <c r="BN79" s="178"/>
      <c r="BO79" s="169">
        <f t="shared" ca="1" si="78"/>
        <v>63.455887179487178</v>
      </c>
      <c r="BP79" s="170">
        <f ca="1">INDEX('Cap based on indoor unit SZ'!$V$43:$V$58,MATCH(AE79,'Cap based on indoor unit SZ'!$U$43:$U$58))</f>
        <v>11.956020512820512</v>
      </c>
      <c r="BQ79" s="170">
        <f ca="1">INDEX('Cap based on indoor unit SZ'!$V$43:$V$58,MATCH(AF79,'Cap based on indoor unit SZ'!$U$43:$U$58))</f>
        <v>11.956020512820512</v>
      </c>
      <c r="BR79" s="170">
        <f ca="1">INDEX('Cap based on indoor unit SZ'!$V$43:$V$58,MATCH(AG79,'Cap based on indoor unit SZ'!$U$43:$U$58))</f>
        <v>14.945025641025641</v>
      </c>
      <c r="BS79" s="170">
        <f ca="1">INDEX('Cap based on indoor unit SZ'!$V$43:$V$58,MATCH(AH79,'Cap based on indoor unit SZ'!$U$43:$U$58))</f>
        <v>24.598820512820513</v>
      </c>
      <c r="BT79" s="179"/>
      <c r="BU79" s="175">
        <v>9500</v>
      </c>
      <c r="BV79" s="175">
        <v>9500</v>
      </c>
      <c r="BW79" s="175">
        <v>11500</v>
      </c>
      <c r="BX79" s="175">
        <v>17500</v>
      </c>
      <c r="BY79" s="179"/>
      <c r="BZ79" s="172">
        <f t="shared" ca="1" si="79"/>
        <v>50.32039316239316</v>
      </c>
      <c r="CA79" s="173">
        <f t="shared" ca="1" si="119"/>
        <v>9.4350737179487183</v>
      </c>
      <c r="CB79" s="173">
        <f t="shared" ca="1" si="120"/>
        <v>9.4350737179487183</v>
      </c>
      <c r="CC79" s="173">
        <f t="shared" ca="1" si="121"/>
        <v>12.58009829059829</v>
      </c>
      <c r="CD79" s="173">
        <f t="shared" ca="1" si="122"/>
        <v>18.870147435897437</v>
      </c>
      <c r="CE79" s="180"/>
      <c r="CF79" s="166">
        <f t="shared" ca="1" si="82"/>
        <v>35.034876164206693</v>
      </c>
      <c r="CG79" s="167">
        <f t="shared" ca="1" si="83"/>
        <v>6.569039280788755</v>
      </c>
      <c r="CH79" s="167">
        <f t="shared" ca="1" si="84"/>
        <v>6.569039280788755</v>
      </c>
      <c r="CI79" s="167">
        <f t="shared" ca="1" si="97"/>
        <v>8.7587190410516715</v>
      </c>
      <c r="CJ79" s="167">
        <f t="shared" ca="1" si="123"/>
        <v>13.13807856157751</v>
      </c>
      <c r="CK79" s="178"/>
    </row>
    <row r="80" spans="2:89">
      <c r="B80" s="196">
        <v>36</v>
      </c>
      <c r="C80" s="197">
        <v>75.2</v>
      </c>
      <c r="D80" s="197">
        <v>62.6</v>
      </c>
      <c r="E80" s="198" t="s">
        <v>109</v>
      </c>
      <c r="F80" s="223">
        <f t="shared" ref="F80:Q80" si="129">F60/F40</f>
        <v>0.69994866529774125</v>
      </c>
      <c r="G80" s="224">
        <f t="shared" si="129"/>
        <v>0.6999749561733033</v>
      </c>
      <c r="H80" s="224">
        <f t="shared" si="129"/>
        <v>0.70002533569799852</v>
      </c>
      <c r="I80" s="224">
        <f t="shared" si="129"/>
        <v>0.6999253545658124</v>
      </c>
      <c r="J80" s="224">
        <f t="shared" si="129"/>
        <v>0.70017245627001723</v>
      </c>
      <c r="K80" s="224">
        <f t="shared" si="129"/>
        <v>0.75006002400960381</v>
      </c>
      <c r="L80" s="223">
        <f t="shared" si="129"/>
        <v>0.81993417959567472</v>
      </c>
      <c r="M80" s="223">
        <f t="shared" si="129"/>
        <v>0.88002008032128509</v>
      </c>
      <c r="N80" s="223">
        <f t="shared" si="129"/>
        <v>0.899972744617062</v>
      </c>
      <c r="O80" s="223">
        <f t="shared" si="129"/>
        <v>0.92018623212504158</v>
      </c>
      <c r="P80" s="223">
        <f t="shared" si="129"/>
        <v>0.94972875226039799</v>
      </c>
      <c r="Q80" s="225">
        <f t="shared" si="129"/>
        <v>0.97976190476190483</v>
      </c>
      <c r="R80" s="226">
        <f t="shared" ca="1" si="99"/>
        <v>0.899972744617062</v>
      </c>
      <c r="S80" s="152"/>
      <c r="T80" s="152"/>
      <c r="U80" s="146"/>
      <c r="V80" s="151"/>
      <c r="W80" s="145"/>
      <c r="X80" s="227"/>
      <c r="Y80" s="152"/>
      <c r="AC80" s="164" t="s">
        <v>156</v>
      </c>
      <c r="AD80" s="164">
        <v>36</v>
      </c>
      <c r="AE80" s="165">
        <v>9</v>
      </c>
      <c r="AF80" s="165">
        <v>9</v>
      </c>
      <c r="AG80" s="165">
        <v>12</v>
      </c>
      <c r="AH80" s="164">
        <v>24</v>
      </c>
      <c r="AI80" s="164"/>
      <c r="AJ80" s="501"/>
      <c r="AK80" s="166">
        <f t="shared" ca="1" si="67"/>
        <v>40.956666666666656</v>
      </c>
      <c r="AL80" s="167">
        <f t="shared" ca="1" si="107"/>
        <v>6.8261111111111097</v>
      </c>
      <c r="AM80" s="167">
        <f t="shared" ca="1" si="108"/>
        <v>6.8261111111111097</v>
      </c>
      <c r="AN80" s="167">
        <f t="shared" ca="1" si="109"/>
        <v>9.1014814814814784</v>
      </c>
      <c r="AO80" s="167">
        <f t="shared" ca="1" si="110"/>
        <v>18.202962962962957</v>
      </c>
      <c r="AP80" s="178"/>
      <c r="AQ80" s="169">
        <f t="shared" ca="1" si="70"/>
        <v>58.457333333333331</v>
      </c>
      <c r="AR80" s="170">
        <f ca="1">INDEX('Cap based on indoor unit SZ'!$J$6:$J$21,MATCH(AE80,'Cap based on indoor unit SZ'!$I$6:$I$21))</f>
        <v>10.463111111111111</v>
      </c>
      <c r="AS80" s="170">
        <f ca="1">INDEX('Cap based on indoor unit SZ'!$J$6:$J$21,MATCH(AF80,'Cap based on indoor unit SZ'!$I$6:$I$21))</f>
        <v>10.463111111111111</v>
      </c>
      <c r="AT80" s="170">
        <f ca="1">INDEX('Cap based on indoor unit SZ'!$J$6:$J$21,MATCH(AG80,'Cap based on indoor unit SZ'!$I$6:$I$21))</f>
        <v>13.078888888888891</v>
      </c>
      <c r="AU80" s="170">
        <f ca="1">INDEX('Cap based on indoor unit SZ'!$J$6:$J$21,MATCH(AH80,'Cap based on indoor unit SZ'!$I$6:$I$21))</f>
        <v>24.452222222222218</v>
      </c>
      <c r="AV80" s="179"/>
      <c r="AW80" s="169">
        <f t="shared" si="71"/>
        <v>48</v>
      </c>
      <c r="AX80" s="170">
        <v>8.5</v>
      </c>
      <c r="AY80" s="170">
        <v>8.5</v>
      </c>
      <c r="AZ80" s="170">
        <v>10.5</v>
      </c>
      <c r="BA80" s="170">
        <v>20.5</v>
      </c>
      <c r="BB80" s="179"/>
      <c r="BC80" s="172">
        <f t="shared" ca="1" si="72"/>
        <v>40.956666666666656</v>
      </c>
      <c r="BD80" s="173">
        <f t="shared" ca="1" si="111"/>
        <v>6.8261111111111097</v>
      </c>
      <c r="BE80" s="173">
        <f t="shared" ca="1" si="112"/>
        <v>6.8261111111111097</v>
      </c>
      <c r="BF80" s="173">
        <f t="shared" ca="1" si="113"/>
        <v>9.1014814814814784</v>
      </c>
      <c r="BG80" s="173">
        <f t="shared" ca="1" si="114"/>
        <v>18.202962962962957</v>
      </c>
      <c r="BH80" s="180"/>
      <c r="BI80" s="166">
        <f t="shared" ca="1" si="75"/>
        <v>50.32039316239316</v>
      </c>
      <c r="BJ80" s="167">
        <f t="shared" ca="1" si="115"/>
        <v>8.3867321937321933</v>
      </c>
      <c r="BK80" s="167">
        <f t="shared" ca="1" si="116"/>
        <v>8.3867321937321933</v>
      </c>
      <c r="BL80" s="167">
        <f t="shared" ca="1" si="117"/>
        <v>11.182309591642923</v>
      </c>
      <c r="BM80" s="167">
        <f t="shared" ca="1" si="118"/>
        <v>22.364619183285846</v>
      </c>
      <c r="BN80" s="178"/>
      <c r="BO80" s="169">
        <f t="shared" ca="1" si="78"/>
        <v>69.147066666666674</v>
      </c>
      <c r="BP80" s="170">
        <f ca="1">INDEX('Cap based on indoor unit SZ'!$V$43:$V$58,MATCH(AE80,'Cap based on indoor unit SZ'!$U$43:$U$58))</f>
        <v>11.956020512820512</v>
      </c>
      <c r="BQ80" s="170">
        <f ca="1">INDEX('Cap based on indoor unit SZ'!$V$43:$V$58,MATCH(AF80,'Cap based on indoor unit SZ'!$U$43:$U$58))</f>
        <v>11.956020512820512</v>
      </c>
      <c r="BR80" s="170">
        <f ca="1">INDEX('Cap based on indoor unit SZ'!$V$43:$V$58,MATCH(AG80,'Cap based on indoor unit SZ'!$U$43:$U$58))</f>
        <v>14.945025641025641</v>
      </c>
      <c r="BS80" s="170">
        <f ca="1">INDEX('Cap based on indoor unit SZ'!$V$43:$V$58,MATCH(AH80,'Cap based on indoor unit SZ'!$U$43:$U$58))</f>
        <v>30.290000000000003</v>
      </c>
      <c r="BT80" s="179"/>
      <c r="BU80" s="175">
        <v>9000</v>
      </c>
      <c r="BV80" s="175">
        <v>9000</v>
      </c>
      <c r="BW80" s="175">
        <v>11000</v>
      </c>
      <c r="BX80" s="175">
        <v>21000</v>
      </c>
      <c r="BY80" s="179"/>
      <c r="BZ80" s="172">
        <f t="shared" ca="1" si="79"/>
        <v>50.32039316239316</v>
      </c>
      <c r="CA80" s="173">
        <f t="shared" ca="1" si="119"/>
        <v>8.3867321937321933</v>
      </c>
      <c r="CB80" s="173">
        <f t="shared" ca="1" si="120"/>
        <v>8.3867321937321933</v>
      </c>
      <c r="CC80" s="173">
        <f t="shared" ca="1" si="121"/>
        <v>11.182309591642923</v>
      </c>
      <c r="CD80" s="173">
        <f t="shared" ca="1" si="122"/>
        <v>22.364619183285846</v>
      </c>
      <c r="CE80" s="180"/>
      <c r="CF80" s="166">
        <f t="shared" ca="1" si="82"/>
        <v>35.034876164206693</v>
      </c>
      <c r="CG80" s="167">
        <f t="shared" ca="1" si="83"/>
        <v>5.8391460273677822</v>
      </c>
      <c r="CH80" s="167">
        <f t="shared" ca="1" si="84"/>
        <v>5.8391460273677822</v>
      </c>
      <c r="CI80" s="167">
        <f t="shared" ca="1" si="97"/>
        <v>7.7855280364903745</v>
      </c>
      <c r="CJ80" s="167">
        <f t="shared" ca="1" si="123"/>
        <v>15.571056072980749</v>
      </c>
      <c r="CK80" s="178"/>
    </row>
    <row r="81" spans="2:89">
      <c r="B81" s="196">
        <v>36</v>
      </c>
      <c r="C81" s="197">
        <v>80.599999999999994</v>
      </c>
      <c r="D81" s="197">
        <v>66.2</v>
      </c>
      <c r="E81" s="198" t="s">
        <v>109</v>
      </c>
      <c r="F81" s="223">
        <f t="shared" ref="F81:Q81" si="130">F61/F41</f>
        <v>0.70009394081728515</v>
      </c>
      <c r="G81" s="224">
        <f t="shared" si="130"/>
        <v>0.70004582951420713</v>
      </c>
      <c r="H81" s="224">
        <f t="shared" si="130"/>
        <v>0.70006926806742087</v>
      </c>
      <c r="I81" s="224">
        <f t="shared" si="130"/>
        <v>0.70011325028312577</v>
      </c>
      <c r="J81" s="224">
        <f t="shared" si="130"/>
        <v>0.7000449034575662</v>
      </c>
      <c r="K81" s="224">
        <f t="shared" si="130"/>
        <v>0.75011106175033315</v>
      </c>
      <c r="L81" s="223">
        <f t="shared" si="130"/>
        <v>0.77993034392686111</v>
      </c>
      <c r="M81" s="223">
        <f t="shared" si="130"/>
        <v>0.8001372055796937</v>
      </c>
      <c r="N81" s="223">
        <f t="shared" si="130"/>
        <v>0.84984333574355253</v>
      </c>
      <c r="O81" s="223">
        <f t="shared" si="130"/>
        <v>0.90011614401858309</v>
      </c>
      <c r="P81" s="223">
        <f t="shared" si="130"/>
        <v>0.94989038521766356</v>
      </c>
      <c r="Q81" s="225">
        <f t="shared" si="130"/>
        <v>0.98011782032400596</v>
      </c>
      <c r="R81" s="226">
        <f t="shared" ca="1" si="99"/>
        <v>0.84984333574355253</v>
      </c>
      <c r="S81" s="152"/>
      <c r="T81" s="152"/>
      <c r="U81" s="146" t="s">
        <v>97</v>
      </c>
      <c r="V81" s="150">
        <f ca="1">TREND(R79:R82,C79:C82,INDOOR_DB)</f>
        <v>0.87700548999851757</v>
      </c>
      <c r="W81" s="145"/>
      <c r="X81" s="227"/>
      <c r="Y81" s="152"/>
      <c r="AC81" s="164" t="s">
        <v>155</v>
      </c>
      <c r="AD81" s="164">
        <v>36</v>
      </c>
      <c r="AE81" s="165">
        <v>9</v>
      </c>
      <c r="AF81" s="165">
        <v>9</v>
      </c>
      <c r="AG81" s="165">
        <v>18</v>
      </c>
      <c r="AH81" s="164">
        <v>18</v>
      </c>
      <c r="AI81" s="164"/>
      <c r="AJ81" s="501"/>
      <c r="AK81" s="166">
        <f t="shared" ca="1" si="67"/>
        <v>40.956666666666656</v>
      </c>
      <c r="AL81" s="167">
        <f t="shared" ca="1" si="107"/>
        <v>6.8261111111111097</v>
      </c>
      <c r="AM81" s="167">
        <f t="shared" ca="1" si="108"/>
        <v>6.8261111111111097</v>
      </c>
      <c r="AN81" s="167">
        <f t="shared" ca="1" si="109"/>
        <v>13.652222222222219</v>
      </c>
      <c r="AO81" s="167">
        <f t="shared" ca="1" si="110"/>
        <v>13.652222222222219</v>
      </c>
      <c r="AP81" s="178"/>
      <c r="AQ81" s="169">
        <f t="shared" ca="1" si="70"/>
        <v>60.568444444444438</v>
      </c>
      <c r="AR81" s="170">
        <f ca="1">INDEX('Cap based on indoor unit SZ'!$J$6:$J$21,MATCH(AE81,'Cap based on indoor unit SZ'!$I$6:$I$21))</f>
        <v>10.463111111111111</v>
      </c>
      <c r="AS81" s="170">
        <f ca="1">INDEX('Cap based on indoor unit SZ'!$J$6:$J$21,MATCH(AF81,'Cap based on indoor unit SZ'!$I$6:$I$21))</f>
        <v>10.463111111111111</v>
      </c>
      <c r="AT81" s="170">
        <f ca="1">INDEX('Cap based on indoor unit SZ'!$J$6:$J$21,MATCH(AG81,'Cap based on indoor unit SZ'!$I$6:$I$21))</f>
        <v>19.821111111111112</v>
      </c>
      <c r="AU81" s="170">
        <f ca="1">INDEX('Cap based on indoor unit SZ'!$J$6:$J$21,MATCH(AH81,'Cap based on indoor unit SZ'!$I$6:$I$21))</f>
        <v>19.821111111111112</v>
      </c>
      <c r="AV81" s="179"/>
      <c r="AW81" s="169">
        <f t="shared" si="71"/>
        <v>48</v>
      </c>
      <c r="AX81" s="170">
        <v>8.5</v>
      </c>
      <c r="AY81" s="170">
        <v>8.5</v>
      </c>
      <c r="AZ81" s="170">
        <v>15.5</v>
      </c>
      <c r="BA81" s="170">
        <v>15.5</v>
      </c>
      <c r="BB81" s="179"/>
      <c r="BC81" s="172">
        <f t="shared" ca="1" si="72"/>
        <v>40.956666666666656</v>
      </c>
      <c r="BD81" s="173">
        <f t="shared" ca="1" si="111"/>
        <v>6.8261111111111097</v>
      </c>
      <c r="BE81" s="173">
        <f t="shared" ca="1" si="112"/>
        <v>6.8261111111111097</v>
      </c>
      <c r="BF81" s="173">
        <f t="shared" ca="1" si="113"/>
        <v>13.652222222222219</v>
      </c>
      <c r="BG81" s="173">
        <f t="shared" ca="1" si="114"/>
        <v>13.652222222222219</v>
      </c>
      <c r="BH81" s="180"/>
      <c r="BI81" s="166">
        <f t="shared" ca="1" si="75"/>
        <v>50.32039316239316</v>
      </c>
      <c r="BJ81" s="167">
        <f t="shared" ca="1" si="115"/>
        <v>8.3867321937321933</v>
      </c>
      <c r="BK81" s="167">
        <f t="shared" ca="1" si="116"/>
        <v>8.3867321937321933</v>
      </c>
      <c r="BL81" s="167">
        <f t="shared" ca="1" si="117"/>
        <v>16.773464387464387</v>
      </c>
      <c r="BM81" s="167">
        <f t="shared" ca="1" si="118"/>
        <v>16.773464387464387</v>
      </c>
      <c r="BN81" s="178"/>
      <c r="BO81" s="169">
        <f t="shared" ca="1" si="78"/>
        <v>73.10968205128205</v>
      </c>
      <c r="BP81" s="170">
        <f ca="1">INDEX('Cap based on indoor unit SZ'!$V$43:$V$58,MATCH(AE81,'Cap based on indoor unit SZ'!$U$43:$U$58))</f>
        <v>11.956020512820512</v>
      </c>
      <c r="BQ81" s="170">
        <f ca="1">INDEX('Cap based on indoor unit SZ'!$V$43:$V$58,MATCH(AF81,'Cap based on indoor unit SZ'!$U$43:$U$58))</f>
        <v>11.956020512820512</v>
      </c>
      <c r="BR81" s="170">
        <f ca="1">INDEX('Cap based on indoor unit SZ'!$V$43:$V$58,MATCH(AG81,'Cap based on indoor unit SZ'!$U$43:$U$58))</f>
        <v>24.598820512820513</v>
      </c>
      <c r="BS81" s="170">
        <f ca="1">INDEX('Cap based on indoor unit SZ'!$V$43:$V$58,MATCH(AH81,'Cap based on indoor unit SZ'!$U$43:$U$58))</f>
        <v>24.598820512820513</v>
      </c>
      <c r="BT81" s="179"/>
      <c r="BU81" s="175">
        <v>9000</v>
      </c>
      <c r="BV81" s="175">
        <v>9000</v>
      </c>
      <c r="BW81" s="175">
        <v>16000</v>
      </c>
      <c r="BX81" s="175">
        <v>16000</v>
      </c>
      <c r="BY81" s="179"/>
      <c r="BZ81" s="172">
        <f t="shared" ca="1" si="79"/>
        <v>50.32039316239316</v>
      </c>
      <c r="CA81" s="173">
        <f t="shared" ca="1" si="119"/>
        <v>8.3867321937321933</v>
      </c>
      <c r="CB81" s="173">
        <f t="shared" ca="1" si="120"/>
        <v>8.3867321937321933</v>
      </c>
      <c r="CC81" s="173">
        <f t="shared" ca="1" si="121"/>
        <v>16.773464387464387</v>
      </c>
      <c r="CD81" s="173">
        <f t="shared" ca="1" si="122"/>
        <v>16.773464387464387</v>
      </c>
      <c r="CE81" s="180"/>
      <c r="CF81" s="166">
        <f t="shared" ca="1" si="82"/>
        <v>35.034876164206693</v>
      </c>
      <c r="CG81" s="167">
        <f t="shared" ca="1" si="83"/>
        <v>5.8391460273677822</v>
      </c>
      <c r="CH81" s="167">
        <f t="shared" ca="1" si="84"/>
        <v>5.8391460273677822</v>
      </c>
      <c r="CI81" s="167">
        <f t="shared" ca="1" si="97"/>
        <v>11.678292054735564</v>
      </c>
      <c r="CJ81" s="167">
        <f t="shared" ca="1" si="123"/>
        <v>11.678292054735564</v>
      </c>
      <c r="CK81" s="178"/>
    </row>
    <row r="82" spans="2:89" ht="14.4" thickBot="1">
      <c r="B82" s="204">
        <v>36</v>
      </c>
      <c r="C82" s="205">
        <v>89.6</v>
      </c>
      <c r="D82" s="205">
        <v>73.400000000000006</v>
      </c>
      <c r="E82" s="206" t="s">
        <v>109</v>
      </c>
      <c r="F82" s="228">
        <f t="shared" ref="F82:Q82" si="131">F62/F42</f>
        <v>0.70008699434536759</v>
      </c>
      <c r="G82" s="229">
        <f t="shared" si="131"/>
        <v>0.69997878209208575</v>
      </c>
      <c r="H82" s="229">
        <f t="shared" si="131"/>
        <v>0.69987174005985464</v>
      </c>
      <c r="I82" s="229">
        <f t="shared" si="131"/>
        <v>0.70008389261744974</v>
      </c>
      <c r="J82" s="229">
        <f t="shared" si="131"/>
        <v>0.70000000000000007</v>
      </c>
      <c r="K82" s="229">
        <f t="shared" si="131"/>
        <v>0.74994859140448278</v>
      </c>
      <c r="L82" s="228">
        <f t="shared" si="131"/>
        <v>0.8199959685547269</v>
      </c>
      <c r="M82" s="228">
        <f t="shared" si="131"/>
        <v>0.87994918484014406</v>
      </c>
      <c r="N82" s="228">
        <f t="shared" si="131"/>
        <v>0.9</v>
      </c>
      <c r="O82" s="228">
        <f t="shared" si="131"/>
        <v>0.91989247311827949</v>
      </c>
      <c r="P82" s="228">
        <f t="shared" si="131"/>
        <v>0.95011600928074247</v>
      </c>
      <c r="Q82" s="230">
        <f t="shared" si="131"/>
        <v>1</v>
      </c>
      <c r="R82" s="231">
        <f t="shared" ca="1" si="99"/>
        <v>0.89999999999999991</v>
      </c>
      <c r="S82" s="152"/>
      <c r="T82" s="152"/>
      <c r="U82" s="146"/>
      <c r="V82" s="227"/>
      <c r="W82" s="152"/>
      <c r="X82" s="227"/>
      <c r="Y82" s="152"/>
      <c r="AC82" s="164" t="s">
        <v>154</v>
      </c>
      <c r="AD82" s="164">
        <v>36</v>
      </c>
      <c r="AE82" s="165">
        <v>9</v>
      </c>
      <c r="AF82" s="165">
        <v>9</v>
      </c>
      <c r="AG82" s="165">
        <v>18</v>
      </c>
      <c r="AH82" s="164">
        <v>24</v>
      </c>
      <c r="AI82" s="164"/>
      <c r="AJ82" s="501"/>
      <c r="AK82" s="166">
        <f t="shared" ca="1" si="67"/>
        <v>40.956666666666656</v>
      </c>
      <c r="AL82" s="167">
        <f t="shared" ca="1" si="107"/>
        <v>6.1434999999999986</v>
      </c>
      <c r="AM82" s="167">
        <f t="shared" ca="1" si="108"/>
        <v>6.1434999999999986</v>
      </c>
      <c r="AN82" s="167">
        <f t="shared" ca="1" si="109"/>
        <v>12.286999999999997</v>
      </c>
      <c r="AO82" s="167">
        <f t="shared" ca="1" si="110"/>
        <v>16.382666666666662</v>
      </c>
      <c r="AP82" s="178"/>
      <c r="AQ82" s="169">
        <f t="shared" ca="1" si="70"/>
        <v>65.199555555555548</v>
      </c>
      <c r="AR82" s="170">
        <f ca="1">INDEX('Cap based on indoor unit SZ'!$J$6:$J$21,MATCH(AE82,'Cap based on indoor unit SZ'!$I$6:$I$21))</f>
        <v>10.463111111111111</v>
      </c>
      <c r="AS82" s="170">
        <f ca="1">INDEX('Cap based on indoor unit SZ'!$J$6:$J$21,MATCH(AF82,'Cap based on indoor unit SZ'!$I$6:$I$21))</f>
        <v>10.463111111111111</v>
      </c>
      <c r="AT82" s="170">
        <f ca="1">INDEX('Cap based on indoor unit SZ'!$J$6:$J$21,MATCH(AG82,'Cap based on indoor unit SZ'!$I$6:$I$21))</f>
        <v>19.821111111111112</v>
      </c>
      <c r="AU82" s="170">
        <f ca="1">INDEX('Cap based on indoor unit SZ'!$J$6:$J$21,MATCH(AH82,'Cap based on indoor unit SZ'!$I$6:$I$21))</f>
        <v>24.452222222222218</v>
      </c>
      <c r="AV82" s="179"/>
      <c r="AW82" s="169">
        <f t="shared" si="71"/>
        <v>50.5</v>
      </c>
      <c r="AX82" s="170">
        <v>8</v>
      </c>
      <c r="AY82" s="170">
        <v>8</v>
      </c>
      <c r="AZ82" s="170">
        <v>14.5</v>
      </c>
      <c r="BA82" s="170">
        <v>20</v>
      </c>
      <c r="BB82" s="179"/>
      <c r="BC82" s="172">
        <f t="shared" ca="1" si="72"/>
        <v>40.956666666666656</v>
      </c>
      <c r="BD82" s="173">
        <f t="shared" ca="1" si="111"/>
        <v>6.1434999999999986</v>
      </c>
      <c r="BE82" s="173">
        <f t="shared" ca="1" si="112"/>
        <v>6.1434999999999986</v>
      </c>
      <c r="BF82" s="173">
        <f t="shared" ca="1" si="113"/>
        <v>12.286999999999997</v>
      </c>
      <c r="BG82" s="173">
        <f t="shared" ca="1" si="114"/>
        <v>16.382666666666662</v>
      </c>
      <c r="BH82" s="180"/>
      <c r="BI82" s="166">
        <f t="shared" ca="1" si="75"/>
        <v>50.320393162393167</v>
      </c>
      <c r="BJ82" s="167">
        <f t="shared" ca="1" si="115"/>
        <v>7.548058974358975</v>
      </c>
      <c r="BK82" s="167">
        <f t="shared" ca="1" si="116"/>
        <v>7.548058974358975</v>
      </c>
      <c r="BL82" s="167">
        <f t="shared" ca="1" si="117"/>
        <v>15.09611794871795</v>
      </c>
      <c r="BM82" s="167">
        <f t="shared" ca="1" si="118"/>
        <v>20.128157264957267</v>
      </c>
      <c r="BN82" s="178"/>
      <c r="BO82" s="169">
        <f t="shared" ca="1" si="78"/>
        <v>78.800861538461547</v>
      </c>
      <c r="BP82" s="170">
        <f ca="1">INDEX('Cap based on indoor unit SZ'!$V$43:$V$58,MATCH(AE82,'Cap based on indoor unit SZ'!$U$43:$U$58))</f>
        <v>11.956020512820512</v>
      </c>
      <c r="BQ82" s="170">
        <f ca="1">INDEX('Cap based on indoor unit SZ'!$V$43:$V$58,MATCH(AF82,'Cap based on indoor unit SZ'!$U$43:$U$58))</f>
        <v>11.956020512820512</v>
      </c>
      <c r="BR82" s="170">
        <f ca="1">INDEX('Cap based on indoor unit SZ'!$V$43:$V$58,MATCH(AG82,'Cap based on indoor unit SZ'!$U$43:$U$58))</f>
        <v>24.598820512820513</v>
      </c>
      <c r="BS82" s="170">
        <f ca="1">INDEX('Cap based on indoor unit SZ'!$V$43:$V$58,MATCH(AH82,'Cap based on indoor unit SZ'!$U$43:$U$58))</f>
        <v>30.290000000000003</v>
      </c>
      <c r="BT82" s="179"/>
      <c r="BU82" s="175">
        <v>8500</v>
      </c>
      <c r="BV82" s="175">
        <v>8500</v>
      </c>
      <c r="BW82" s="175">
        <v>15000</v>
      </c>
      <c r="BX82" s="175">
        <v>20000</v>
      </c>
      <c r="BY82" s="179"/>
      <c r="BZ82" s="172">
        <f t="shared" ca="1" si="79"/>
        <v>50.320393162393167</v>
      </c>
      <c r="CA82" s="173">
        <f t="shared" ca="1" si="119"/>
        <v>7.548058974358975</v>
      </c>
      <c r="CB82" s="173">
        <f t="shared" ca="1" si="120"/>
        <v>7.548058974358975</v>
      </c>
      <c r="CC82" s="173">
        <f t="shared" ca="1" si="121"/>
        <v>15.09611794871795</v>
      </c>
      <c r="CD82" s="173">
        <f t="shared" ca="1" si="122"/>
        <v>20.128157264957267</v>
      </c>
      <c r="CE82" s="180"/>
      <c r="CF82" s="166">
        <f t="shared" ca="1" si="82"/>
        <v>35.034876164206693</v>
      </c>
      <c r="CG82" s="167">
        <f t="shared" ca="1" si="83"/>
        <v>5.2552314246310035</v>
      </c>
      <c r="CH82" s="167">
        <f t="shared" ca="1" si="84"/>
        <v>5.2552314246310035</v>
      </c>
      <c r="CI82" s="167">
        <f t="shared" ca="1" si="97"/>
        <v>10.510462849262007</v>
      </c>
      <c r="CJ82" s="167">
        <f t="shared" ca="1" si="123"/>
        <v>14.013950465682676</v>
      </c>
      <c r="CK82" s="178"/>
    </row>
    <row r="83" spans="2:89">
      <c r="B83" s="188">
        <v>48</v>
      </c>
      <c r="C83" s="189">
        <v>69.8</v>
      </c>
      <c r="D83" s="189">
        <v>59</v>
      </c>
      <c r="E83" s="190" t="s">
        <v>109</v>
      </c>
      <c r="F83" s="219">
        <f t="shared" ref="F83:Q83" si="132">F63/F43</f>
        <v>0.70014556040756915</v>
      </c>
      <c r="G83" s="220">
        <f t="shared" si="132"/>
        <v>0.70011834319526622</v>
      </c>
      <c r="H83" s="220">
        <f t="shared" si="132"/>
        <v>0.7000705716302047</v>
      </c>
      <c r="I83" s="220">
        <f t="shared" si="132"/>
        <v>0.70002388344876998</v>
      </c>
      <c r="J83" s="220">
        <f t="shared" si="132"/>
        <v>0.7000484966052376</v>
      </c>
      <c r="K83" s="220">
        <f t="shared" si="132"/>
        <v>0.73004527043126044</v>
      </c>
      <c r="L83" s="219">
        <f t="shared" si="132"/>
        <v>0.897998553170967</v>
      </c>
      <c r="M83" s="219">
        <f t="shared" si="132"/>
        <v>0.9374364191251271</v>
      </c>
      <c r="N83" s="219">
        <f t="shared" si="132"/>
        <v>0.97986762272476569</v>
      </c>
      <c r="O83" s="219">
        <f t="shared" si="132"/>
        <v>1</v>
      </c>
      <c r="P83" s="219">
        <f t="shared" si="132"/>
        <v>1</v>
      </c>
      <c r="Q83" s="221">
        <f t="shared" si="132"/>
        <v>1</v>
      </c>
      <c r="R83" s="226">
        <f t="shared" ca="1" si="99"/>
        <v>0.97986762272476557</v>
      </c>
      <c r="S83" s="152"/>
      <c r="T83" s="152"/>
      <c r="U83" s="146" t="s">
        <v>96</v>
      </c>
      <c r="V83" s="150">
        <f ca="1">FORECAST(INDOOR_DB,OFFSET(R83:R86,MATCH(INDOOR_DB,C83:C86,1)-1,0,2),OFFSET(C83:C86,MATCH(INDOOR_DB,C83:C86,1)-1,0,2))</f>
        <v>0.8121609522743265</v>
      </c>
      <c r="W83" s="145">
        <f>B83</f>
        <v>48</v>
      </c>
      <c r="X83" s="150">
        <f ca="1">IF(OR(INDOOR_DB&lt;C83,INDOOR_DB&gt;C86),V85,V83)</f>
        <v>0.8121609522743265</v>
      </c>
      <c r="Y83" s="152"/>
      <c r="AC83" s="164" t="s">
        <v>153</v>
      </c>
      <c r="AD83" s="164">
        <v>36</v>
      </c>
      <c r="AE83" s="165">
        <v>9</v>
      </c>
      <c r="AF83" s="165">
        <v>12</v>
      </c>
      <c r="AG83" s="165">
        <v>12</v>
      </c>
      <c r="AH83" s="164">
        <v>12</v>
      </c>
      <c r="AI83" s="164"/>
      <c r="AJ83" s="501"/>
      <c r="AK83" s="166">
        <f t="shared" ca="1" si="67"/>
        <v>40.956666666666663</v>
      </c>
      <c r="AL83" s="167">
        <f t="shared" ca="1" si="107"/>
        <v>8.1913333333333327</v>
      </c>
      <c r="AM83" s="167">
        <f t="shared" ca="1" si="108"/>
        <v>10.921777777777777</v>
      </c>
      <c r="AN83" s="167">
        <f t="shared" ca="1" si="109"/>
        <v>10.921777777777777</v>
      </c>
      <c r="AO83" s="167">
        <f t="shared" ca="1" si="110"/>
        <v>10.921777777777777</v>
      </c>
      <c r="AP83" s="178"/>
      <c r="AQ83" s="169">
        <f t="shared" ca="1" si="70"/>
        <v>49.699777777777783</v>
      </c>
      <c r="AR83" s="170">
        <f ca="1">INDEX('Cap based on indoor unit SZ'!$J$6:$J$21,MATCH(AE83,'Cap based on indoor unit SZ'!$I$6:$I$21))</f>
        <v>10.463111111111111</v>
      </c>
      <c r="AS83" s="170">
        <f ca="1">INDEX('Cap based on indoor unit SZ'!$J$6:$J$21,MATCH(AF83,'Cap based on indoor unit SZ'!$I$6:$I$21))</f>
        <v>13.078888888888891</v>
      </c>
      <c r="AT83" s="170">
        <f ca="1">INDEX('Cap based on indoor unit SZ'!$J$6:$J$21,MATCH(AG83,'Cap based on indoor unit SZ'!$I$6:$I$21))</f>
        <v>13.078888888888891</v>
      </c>
      <c r="AU83" s="170">
        <f ca="1">INDEX('Cap based on indoor unit SZ'!$J$6:$J$21,MATCH(AH83,'Cap based on indoor unit SZ'!$I$6:$I$21))</f>
        <v>13.078888888888891</v>
      </c>
      <c r="AV83" s="179"/>
      <c r="AW83" s="169">
        <f t="shared" si="71"/>
        <v>45</v>
      </c>
      <c r="AX83" s="170">
        <v>9</v>
      </c>
      <c r="AY83" s="170">
        <v>12</v>
      </c>
      <c r="AZ83" s="170">
        <v>12</v>
      </c>
      <c r="BA83" s="170">
        <v>12</v>
      </c>
      <c r="BB83" s="179"/>
      <c r="BC83" s="172">
        <f t="shared" ca="1" si="72"/>
        <v>40.956666666666663</v>
      </c>
      <c r="BD83" s="173">
        <f t="shared" ca="1" si="111"/>
        <v>8.1913333333333327</v>
      </c>
      <c r="BE83" s="173">
        <f t="shared" ca="1" si="112"/>
        <v>10.921777777777777</v>
      </c>
      <c r="BF83" s="173">
        <f t="shared" ca="1" si="113"/>
        <v>10.921777777777777</v>
      </c>
      <c r="BG83" s="173">
        <f t="shared" ca="1" si="114"/>
        <v>10.921777777777777</v>
      </c>
      <c r="BH83" s="180"/>
      <c r="BI83" s="166">
        <f t="shared" ca="1" si="75"/>
        <v>50.32039316239316</v>
      </c>
      <c r="BJ83" s="167">
        <f t="shared" ca="1" si="115"/>
        <v>10.064078632478633</v>
      </c>
      <c r="BK83" s="167">
        <f t="shared" ca="1" si="116"/>
        <v>13.41877150997151</v>
      </c>
      <c r="BL83" s="167">
        <f t="shared" ca="1" si="117"/>
        <v>13.41877150997151</v>
      </c>
      <c r="BM83" s="167">
        <f t="shared" ca="1" si="118"/>
        <v>13.41877150997151</v>
      </c>
      <c r="BN83" s="178"/>
      <c r="BO83" s="169">
        <f t="shared" ca="1" si="78"/>
        <v>56.791097435897427</v>
      </c>
      <c r="BP83" s="170">
        <f ca="1">INDEX('Cap based on indoor unit SZ'!$V$43:$V$58,MATCH(AE83,'Cap based on indoor unit SZ'!$U$43:$U$58))</f>
        <v>11.956020512820512</v>
      </c>
      <c r="BQ83" s="170">
        <f ca="1">INDEX('Cap based on indoor unit SZ'!$V$43:$V$58,MATCH(AF83,'Cap based on indoor unit SZ'!$U$43:$U$58))</f>
        <v>14.945025641025641</v>
      </c>
      <c r="BR83" s="170">
        <f ca="1">INDEX('Cap based on indoor unit SZ'!$V$43:$V$58,MATCH(AG83,'Cap based on indoor unit SZ'!$U$43:$U$58))</f>
        <v>14.945025641025641</v>
      </c>
      <c r="BS83" s="170">
        <f ca="1">INDEX('Cap based on indoor unit SZ'!$V$43:$V$58,MATCH(AH83,'Cap based on indoor unit SZ'!$U$43:$U$58))</f>
        <v>14.945025641025641</v>
      </c>
      <c r="BT83" s="179"/>
      <c r="BU83" s="175">
        <v>9500</v>
      </c>
      <c r="BV83" s="175">
        <v>12500</v>
      </c>
      <c r="BW83" s="175">
        <v>12500</v>
      </c>
      <c r="BX83" s="175">
        <v>12500</v>
      </c>
      <c r="BY83" s="179"/>
      <c r="BZ83" s="172">
        <f t="shared" ca="1" si="79"/>
        <v>50.32039316239316</v>
      </c>
      <c r="CA83" s="173">
        <f t="shared" ca="1" si="119"/>
        <v>10.064078632478633</v>
      </c>
      <c r="CB83" s="173">
        <f t="shared" ca="1" si="120"/>
        <v>13.41877150997151</v>
      </c>
      <c r="CC83" s="173">
        <f t="shared" ca="1" si="121"/>
        <v>13.41877150997151</v>
      </c>
      <c r="CD83" s="173">
        <f t="shared" ca="1" si="122"/>
        <v>13.41877150997151</v>
      </c>
      <c r="CE83" s="180"/>
      <c r="CF83" s="166">
        <f t="shared" ca="1" si="82"/>
        <v>35.034876164206693</v>
      </c>
      <c r="CG83" s="167">
        <f t="shared" ca="1" si="83"/>
        <v>7.0069752328413388</v>
      </c>
      <c r="CH83" s="167">
        <f t="shared" ca="1" si="84"/>
        <v>9.342633643788453</v>
      </c>
      <c r="CI83" s="167">
        <f t="shared" ca="1" si="97"/>
        <v>9.342633643788453</v>
      </c>
      <c r="CJ83" s="167">
        <f t="shared" ca="1" si="123"/>
        <v>9.342633643788453</v>
      </c>
      <c r="CK83" s="178"/>
    </row>
    <row r="84" spans="2:89">
      <c r="B84" s="196">
        <v>48</v>
      </c>
      <c r="C84" s="197">
        <v>75.2</v>
      </c>
      <c r="D84" s="197">
        <v>62.6</v>
      </c>
      <c r="E84" s="198" t="s">
        <v>109</v>
      </c>
      <c r="F84" s="223">
        <f t="shared" ref="F84:Q84" si="133">F64/F44</f>
        <v>0.73000898472596576</v>
      </c>
      <c r="G84" s="224">
        <f t="shared" si="133"/>
        <v>0.73000219154065304</v>
      </c>
      <c r="H84" s="224">
        <f t="shared" si="133"/>
        <v>0.72990633848834674</v>
      </c>
      <c r="I84" s="224">
        <f t="shared" si="133"/>
        <v>0.72998673153471916</v>
      </c>
      <c r="J84" s="224">
        <f t="shared" si="133"/>
        <v>0.72990570273911093</v>
      </c>
      <c r="K84" s="224">
        <f t="shared" si="133"/>
        <v>0.76990955217295387</v>
      </c>
      <c r="L84" s="223">
        <f t="shared" si="133"/>
        <v>0.82987273945077034</v>
      </c>
      <c r="M84" s="223">
        <f t="shared" si="133"/>
        <v>0.85001177301624686</v>
      </c>
      <c r="N84" s="223">
        <f t="shared" si="133"/>
        <v>0.87002042900919319</v>
      </c>
      <c r="O84" s="223">
        <f t="shared" si="133"/>
        <v>0.90002808199943829</v>
      </c>
      <c r="P84" s="223">
        <f t="shared" si="133"/>
        <v>1</v>
      </c>
      <c r="Q84" s="225">
        <f t="shared" si="133"/>
        <v>1</v>
      </c>
      <c r="R84" s="226">
        <f t="shared" ca="1" si="99"/>
        <v>0.87002042900919307</v>
      </c>
      <c r="S84" s="152"/>
      <c r="T84" s="152"/>
      <c r="U84" s="146"/>
      <c r="V84" s="151"/>
      <c r="W84" s="145"/>
      <c r="X84" s="227"/>
      <c r="Y84" s="152"/>
      <c r="AC84" s="164" t="s">
        <v>152</v>
      </c>
      <c r="AD84" s="164">
        <v>36</v>
      </c>
      <c r="AE84" s="165">
        <v>9</v>
      </c>
      <c r="AF84" s="165">
        <v>12</v>
      </c>
      <c r="AG84" s="165">
        <v>12</v>
      </c>
      <c r="AH84" s="164">
        <v>18</v>
      </c>
      <c r="AI84" s="164"/>
      <c r="AJ84" s="501"/>
      <c r="AK84" s="166">
        <f t="shared" ca="1" si="67"/>
        <v>40.956666666666656</v>
      </c>
      <c r="AL84" s="167">
        <f t="shared" ca="1" si="107"/>
        <v>7.2276470588235284</v>
      </c>
      <c r="AM84" s="167">
        <f t="shared" ca="1" si="108"/>
        <v>9.6368627450980373</v>
      </c>
      <c r="AN84" s="167">
        <f t="shared" ca="1" si="109"/>
        <v>9.6368627450980373</v>
      </c>
      <c r="AO84" s="167">
        <f t="shared" ca="1" si="110"/>
        <v>14.455294117647057</v>
      </c>
      <c r="AP84" s="178"/>
      <c r="AQ84" s="169">
        <f t="shared" ca="1" si="70"/>
        <v>56.442000000000007</v>
      </c>
      <c r="AR84" s="170">
        <f ca="1">INDEX('Cap based on indoor unit SZ'!$J$6:$J$21,MATCH(AE84,'Cap based on indoor unit SZ'!$I$6:$I$21))</f>
        <v>10.463111111111111</v>
      </c>
      <c r="AS84" s="170">
        <f ca="1">INDEX('Cap based on indoor unit SZ'!$J$6:$J$21,MATCH(AF84,'Cap based on indoor unit SZ'!$I$6:$I$21))</f>
        <v>13.078888888888891</v>
      </c>
      <c r="AT84" s="170">
        <f ca="1">INDEX('Cap based on indoor unit SZ'!$J$6:$J$21,MATCH(AG84,'Cap based on indoor unit SZ'!$I$6:$I$21))</f>
        <v>13.078888888888891</v>
      </c>
      <c r="AU84" s="170">
        <f ca="1">INDEX('Cap based on indoor unit SZ'!$J$6:$J$21,MATCH(AH84,'Cap based on indoor unit SZ'!$I$6:$I$21))</f>
        <v>19.821111111111112</v>
      </c>
      <c r="AV84" s="179"/>
      <c r="AW84" s="169">
        <f t="shared" si="71"/>
        <v>46</v>
      </c>
      <c r="AX84" s="170">
        <v>9</v>
      </c>
      <c r="AY84" s="170">
        <v>10.5</v>
      </c>
      <c r="AZ84" s="170">
        <v>10.5</v>
      </c>
      <c r="BA84" s="170">
        <v>16</v>
      </c>
      <c r="BB84" s="179"/>
      <c r="BC84" s="172">
        <f t="shared" ca="1" si="72"/>
        <v>40.956666666666656</v>
      </c>
      <c r="BD84" s="173">
        <f t="shared" ca="1" si="111"/>
        <v>7.2276470588235284</v>
      </c>
      <c r="BE84" s="173">
        <f t="shared" ca="1" si="112"/>
        <v>9.6368627450980373</v>
      </c>
      <c r="BF84" s="173">
        <f t="shared" ca="1" si="113"/>
        <v>9.6368627450980373</v>
      </c>
      <c r="BG84" s="173">
        <f t="shared" ca="1" si="114"/>
        <v>14.455294117647057</v>
      </c>
      <c r="BH84" s="180"/>
      <c r="BI84" s="166">
        <f t="shared" ca="1" si="75"/>
        <v>50.320393162393167</v>
      </c>
      <c r="BJ84" s="167">
        <f t="shared" ca="1" si="115"/>
        <v>8.8800693815987941</v>
      </c>
      <c r="BK84" s="167">
        <f t="shared" ca="1" si="116"/>
        <v>11.840092508798392</v>
      </c>
      <c r="BL84" s="167">
        <f t="shared" ca="1" si="117"/>
        <v>11.840092508798392</v>
      </c>
      <c r="BM84" s="167">
        <f t="shared" ca="1" si="118"/>
        <v>17.760138763197588</v>
      </c>
      <c r="BN84" s="178"/>
      <c r="BO84" s="169">
        <f t="shared" ca="1" si="78"/>
        <v>66.444892307692299</v>
      </c>
      <c r="BP84" s="170">
        <f ca="1">INDEX('Cap based on indoor unit SZ'!$V$43:$V$58,MATCH(AE84,'Cap based on indoor unit SZ'!$U$43:$U$58))</f>
        <v>11.956020512820512</v>
      </c>
      <c r="BQ84" s="170">
        <f ca="1">INDEX('Cap based on indoor unit SZ'!$V$43:$V$58,MATCH(AF84,'Cap based on indoor unit SZ'!$U$43:$U$58))</f>
        <v>14.945025641025641</v>
      </c>
      <c r="BR84" s="170">
        <f ca="1">INDEX('Cap based on indoor unit SZ'!$V$43:$V$58,MATCH(AG84,'Cap based on indoor unit SZ'!$U$43:$U$58))</f>
        <v>14.945025641025641</v>
      </c>
      <c r="BS84" s="170">
        <f ca="1">INDEX('Cap based on indoor unit SZ'!$V$43:$V$58,MATCH(AH84,'Cap based on indoor unit SZ'!$U$43:$U$58))</f>
        <v>24.598820512820513</v>
      </c>
      <c r="BT84" s="179"/>
      <c r="BU84" s="175">
        <v>9500</v>
      </c>
      <c r="BV84" s="175">
        <v>11500</v>
      </c>
      <c r="BW84" s="175">
        <v>11500</v>
      </c>
      <c r="BX84" s="175">
        <v>16500</v>
      </c>
      <c r="BY84" s="179"/>
      <c r="BZ84" s="172">
        <f t="shared" ca="1" si="79"/>
        <v>50.320393162393167</v>
      </c>
      <c r="CA84" s="173">
        <f t="shared" ca="1" si="119"/>
        <v>8.8800693815987941</v>
      </c>
      <c r="CB84" s="173">
        <f t="shared" ca="1" si="120"/>
        <v>11.840092508798392</v>
      </c>
      <c r="CC84" s="173">
        <f t="shared" ca="1" si="121"/>
        <v>11.840092508798392</v>
      </c>
      <c r="CD84" s="173">
        <f t="shared" ca="1" si="122"/>
        <v>17.760138763197588</v>
      </c>
      <c r="CE84" s="180"/>
      <c r="CF84" s="166">
        <f t="shared" ca="1" si="82"/>
        <v>35.034876164206693</v>
      </c>
      <c r="CG84" s="167">
        <f t="shared" ca="1" si="83"/>
        <v>6.1826252054482405</v>
      </c>
      <c r="CH84" s="167">
        <f t="shared" ca="1" si="84"/>
        <v>8.2435002739309855</v>
      </c>
      <c r="CI84" s="167">
        <f t="shared" ca="1" si="97"/>
        <v>8.2435002739309855</v>
      </c>
      <c r="CJ84" s="167">
        <f t="shared" ca="1" si="123"/>
        <v>12.365250410896481</v>
      </c>
      <c r="CK84" s="178"/>
    </row>
    <row r="85" spans="2:89">
      <c r="B85" s="196">
        <v>48</v>
      </c>
      <c r="C85" s="197">
        <v>80.599999999999994</v>
      </c>
      <c r="D85" s="197">
        <v>66.2</v>
      </c>
      <c r="E85" s="198" t="s">
        <v>109</v>
      </c>
      <c r="F85" s="223">
        <f t="shared" ref="F85:Q85" si="134">F65/F45</f>
        <v>0.75000000000000011</v>
      </c>
      <c r="G85" s="224">
        <f t="shared" si="134"/>
        <v>0.75009067827348563</v>
      </c>
      <c r="H85" s="224">
        <f t="shared" si="134"/>
        <v>0.75</v>
      </c>
      <c r="I85" s="224">
        <f t="shared" si="134"/>
        <v>0.76152594467546553</v>
      </c>
      <c r="J85" s="224">
        <f t="shared" si="134"/>
        <v>0.74995547640249338</v>
      </c>
      <c r="K85" s="224">
        <f t="shared" si="134"/>
        <v>0.75</v>
      </c>
      <c r="L85" s="223">
        <f t="shared" si="134"/>
        <v>0.76402256886823761</v>
      </c>
      <c r="M85" s="223">
        <f t="shared" si="134"/>
        <v>0.782998944033791</v>
      </c>
      <c r="N85" s="223">
        <f t="shared" si="134"/>
        <v>0.80492851768246809</v>
      </c>
      <c r="O85" s="223">
        <f t="shared" si="134"/>
        <v>0.92673992673992678</v>
      </c>
      <c r="P85" s="223">
        <f t="shared" si="134"/>
        <v>1</v>
      </c>
      <c r="Q85" s="225">
        <f t="shared" si="134"/>
        <v>1</v>
      </c>
      <c r="R85" s="226">
        <f t="shared" ca="1" si="99"/>
        <v>0.80492851768246809</v>
      </c>
      <c r="S85" s="152"/>
      <c r="T85" s="152"/>
      <c r="U85" s="146" t="s">
        <v>97</v>
      </c>
      <c r="V85" s="150">
        <f ca="1">TREND(R83:R86,C83:C86,INDOOR_DB)</f>
        <v>0.88432688277515115</v>
      </c>
      <c r="W85" s="145"/>
      <c r="X85" s="227"/>
      <c r="Y85" s="152"/>
      <c r="AC85" s="164" t="s">
        <v>151</v>
      </c>
      <c r="AD85" s="164">
        <v>36</v>
      </c>
      <c r="AE85" s="165">
        <v>9</v>
      </c>
      <c r="AF85" s="165">
        <v>12</v>
      </c>
      <c r="AG85" s="165">
        <v>12</v>
      </c>
      <c r="AH85" s="164">
        <v>24</v>
      </c>
      <c r="AI85" s="164"/>
      <c r="AJ85" s="501"/>
      <c r="AK85" s="166">
        <f t="shared" ca="1" si="67"/>
        <v>40.956666666666663</v>
      </c>
      <c r="AL85" s="167">
        <f t="shared" ca="1" si="107"/>
        <v>6.4668421052631571</v>
      </c>
      <c r="AM85" s="167">
        <f t="shared" ca="1" si="108"/>
        <v>8.6224561403508755</v>
      </c>
      <c r="AN85" s="167">
        <f t="shared" ca="1" si="109"/>
        <v>8.6224561403508755</v>
      </c>
      <c r="AO85" s="167">
        <f t="shared" ca="1" si="110"/>
        <v>17.244912280701751</v>
      </c>
      <c r="AP85" s="178"/>
      <c r="AQ85" s="169">
        <f t="shared" ca="1" si="70"/>
        <v>61.07311111111111</v>
      </c>
      <c r="AR85" s="170">
        <f ca="1">INDEX('Cap based on indoor unit SZ'!$J$6:$J$21,MATCH(AE85,'Cap based on indoor unit SZ'!$I$6:$I$21))</f>
        <v>10.463111111111111</v>
      </c>
      <c r="AS85" s="170">
        <f ca="1">INDEX('Cap based on indoor unit SZ'!$J$6:$J$21,MATCH(AF85,'Cap based on indoor unit SZ'!$I$6:$I$21))</f>
        <v>13.078888888888891</v>
      </c>
      <c r="AT85" s="170">
        <f ca="1">INDEX('Cap based on indoor unit SZ'!$J$6:$J$21,MATCH(AG85,'Cap based on indoor unit SZ'!$I$6:$I$21))</f>
        <v>13.078888888888891</v>
      </c>
      <c r="AU85" s="170">
        <f ca="1">INDEX('Cap based on indoor unit SZ'!$J$6:$J$21,MATCH(AH85,'Cap based on indoor unit SZ'!$I$6:$I$21))</f>
        <v>24.452222222222218</v>
      </c>
      <c r="AV85" s="179"/>
      <c r="AW85" s="169">
        <f t="shared" si="71"/>
        <v>48.5</v>
      </c>
      <c r="AX85" s="170">
        <v>8.5</v>
      </c>
      <c r="AY85" s="170">
        <v>10</v>
      </c>
      <c r="AZ85" s="170">
        <v>10</v>
      </c>
      <c r="BA85" s="170">
        <v>20</v>
      </c>
      <c r="BB85" s="179"/>
      <c r="BC85" s="172">
        <f t="shared" ca="1" si="72"/>
        <v>40.956666666666663</v>
      </c>
      <c r="BD85" s="173">
        <f t="shared" ca="1" si="111"/>
        <v>6.4668421052631571</v>
      </c>
      <c r="BE85" s="173">
        <f t="shared" ca="1" si="112"/>
        <v>8.6224561403508755</v>
      </c>
      <c r="BF85" s="173">
        <f t="shared" ca="1" si="113"/>
        <v>8.6224561403508755</v>
      </c>
      <c r="BG85" s="173">
        <f t="shared" ca="1" si="114"/>
        <v>17.244912280701751</v>
      </c>
      <c r="BH85" s="180"/>
      <c r="BI85" s="166">
        <f t="shared" ca="1" si="75"/>
        <v>50.320393162393167</v>
      </c>
      <c r="BJ85" s="167">
        <f t="shared" ca="1" si="115"/>
        <v>7.9453252361673421</v>
      </c>
      <c r="BK85" s="167">
        <f t="shared" ca="1" si="116"/>
        <v>10.593766981556456</v>
      </c>
      <c r="BL85" s="167">
        <f t="shared" ca="1" si="117"/>
        <v>10.593766981556456</v>
      </c>
      <c r="BM85" s="167">
        <f t="shared" ca="1" si="118"/>
        <v>21.187533963112912</v>
      </c>
      <c r="BN85" s="178"/>
      <c r="BO85" s="169">
        <f t="shared" ca="1" si="78"/>
        <v>72.136071794871796</v>
      </c>
      <c r="BP85" s="170">
        <f ca="1">INDEX('Cap based on indoor unit SZ'!$V$43:$V$58,MATCH(AE85,'Cap based on indoor unit SZ'!$U$43:$U$58))</f>
        <v>11.956020512820512</v>
      </c>
      <c r="BQ85" s="170">
        <f ca="1">INDEX('Cap based on indoor unit SZ'!$V$43:$V$58,MATCH(AF85,'Cap based on indoor unit SZ'!$U$43:$U$58))</f>
        <v>14.945025641025641</v>
      </c>
      <c r="BR85" s="170">
        <f ca="1">INDEX('Cap based on indoor unit SZ'!$V$43:$V$58,MATCH(AG85,'Cap based on indoor unit SZ'!$U$43:$U$58))</f>
        <v>14.945025641025641</v>
      </c>
      <c r="BS85" s="170">
        <f ca="1">INDEX('Cap based on indoor unit SZ'!$V$43:$V$58,MATCH(AH85,'Cap based on indoor unit SZ'!$U$43:$U$58))</f>
        <v>30.290000000000003</v>
      </c>
      <c r="BT85" s="179"/>
      <c r="BU85" s="175">
        <v>9000</v>
      </c>
      <c r="BV85" s="175">
        <v>10500</v>
      </c>
      <c r="BW85" s="175">
        <v>10500</v>
      </c>
      <c r="BX85" s="175">
        <v>20500</v>
      </c>
      <c r="BY85" s="179"/>
      <c r="BZ85" s="172">
        <f t="shared" ca="1" si="79"/>
        <v>50.320393162393167</v>
      </c>
      <c r="CA85" s="173">
        <f t="shared" ca="1" si="119"/>
        <v>7.9453252361673421</v>
      </c>
      <c r="CB85" s="173">
        <f t="shared" ca="1" si="120"/>
        <v>10.593766981556456</v>
      </c>
      <c r="CC85" s="173">
        <f t="shared" ca="1" si="121"/>
        <v>10.593766981556456</v>
      </c>
      <c r="CD85" s="173">
        <f t="shared" ca="1" si="122"/>
        <v>21.187533963112912</v>
      </c>
      <c r="CE85" s="180"/>
      <c r="CF85" s="166">
        <f t="shared" ca="1" si="82"/>
        <v>35.034876164206693</v>
      </c>
      <c r="CG85" s="167">
        <f t="shared" ca="1" si="83"/>
        <v>5.5318225522431623</v>
      </c>
      <c r="CH85" s="167">
        <f t="shared" ca="1" si="84"/>
        <v>7.3757634029908825</v>
      </c>
      <c r="CI85" s="167">
        <f t="shared" ca="1" si="97"/>
        <v>7.3757634029908825</v>
      </c>
      <c r="CJ85" s="167">
        <f t="shared" ca="1" si="123"/>
        <v>14.751526805981765</v>
      </c>
      <c r="CK85" s="178"/>
    </row>
    <row r="86" spans="2:89" ht="14.4" thickBot="1">
      <c r="B86" s="204">
        <v>48</v>
      </c>
      <c r="C86" s="205">
        <v>89.6</v>
      </c>
      <c r="D86" s="205">
        <v>73.400000000000006</v>
      </c>
      <c r="E86" s="206" t="s">
        <v>109</v>
      </c>
      <c r="F86" s="228">
        <f t="shared" ref="F86:Q86" si="135">F66/F46</f>
        <v>0.73995397415471753</v>
      </c>
      <c r="G86" s="229">
        <f t="shared" si="135"/>
        <v>0.73989637305699485</v>
      </c>
      <c r="H86" s="229">
        <f t="shared" si="135"/>
        <v>0.74011496255007847</v>
      </c>
      <c r="I86" s="229">
        <f t="shared" si="135"/>
        <v>0.74001377410468316</v>
      </c>
      <c r="J86" s="229">
        <f t="shared" si="135"/>
        <v>0.7399932157394844</v>
      </c>
      <c r="K86" s="229">
        <f t="shared" si="135"/>
        <v>0.77988582941571527</v>
      </c>
      <c r="L86" s="228">
        <f t="shared" si="135"/>
        <v>0.83009325114588273</v>
      </c>
      <c r="M86" s="228">
        <f t="shared" si="135"/>
        <v>0.86004022795843116</v>
      </c>
      <c r="N86" s="228">
        <f t="shared" si="135"/>
        <v>0.90003582945180938</v>
      </c>
      <c r="O86" s="228">
        <f t="shared" si="135"/>
        <v>0.95000000000000007</v>
      </c>
      <c r="P86" s="228">
        <f t="shared" si="135"/>
        <v>1</v>
      </c>
      <c r="Q86" s="230">
        <f t="shared" si="135"/>
        <v>1</v>
      </c>
      <c r="R86" s="231">
        <f t="shared" ca="1" si="99"/>
        <v>0.90003582945180949</v>
      </c>
      <c r="S86" s="152"/>
      <c r="T86" s="152"/>
      <c r="U86" s="146"/>
      <c r="V86" s="152"/>
      <c r="W86" s="152"/>
      <c r="X86" s="152"/>
      <c r="Y86" s="152"/>
      <c r="AC86" s="164" t="s">
        <v>150</v>
      </c>
      <c r="AD86" s="164">
        <v>36</v>
      </c>
      <c r="AE86" s="165">
        <v>9</v>
      </c>
      <c r="AF86" s="165">
        <v>12</v>
      </c>
      <c r="AG86" s="165">
        <v>18</v>
      </c>
      <c r="AH86" s="164">
        <v>18</v>
      </c>
      <c r="AI86" s="164"/>
      <c r="AJ86" s="501"/>
      <c r="AK86" s="166">
        <f t="shared" ca="1" si="67"/>
        <v>40.956666666666649</v>
      </c>
      <c r="AL86" s="167">
        <f t="shared" ca="1" si="107"/>
        <v>6.4668421052631562</v>
      </c>
      <c r="AM86" s="167">
        <f t="shared" ca="1" si="108"/>
        <v>8.6224561403508737</v>
      </c>
      <c r="AN86" s="167">
        <f t="shared" ca="1" si="109"/>
        <v>12.933684210526312</v>
      </c>
      <c r="AO86" s="167">
        <f t="shared" ca="1" si="110"/>
        <v>12.933684210526312</v>
      </c>
      <c r="AP86" s="178"/>
      <c r="AQ86" s="169">
        <f t="shared" ca="1" si="70"/>
        <v>63.184222222222218</v>
      </c>
      <c r="AR86" s="170">
        <f ca="1">INDEX('Cap based on indoor unit SZ'!$J$6:$J$21,MATCH(AE86,'Cap based on indoor unit SZ'!$I$6:$I$21))</f>
        <v>10.463111111111111</v>
      </c>
      <c r="AS86" s="170">
        <f ca="1">INDEX('Cap based on indoor unit SZ'!$J$6:$J$21,MATCH(AF86,'Cap based on indoor unit SZ'!$I$6:$I$21))</f>
        <v>13.078888888888891</v>
      </c>
      <c r="AT86" s="170">
        <f ca="1">INDEX('Cap based on indoor unit SZ'!$J$6:$J$21,MATCH(AG86,'Cap based on indoor unit SZ'!$I$6:$I$21))</f>
        <v>19.821111111111112</v>
      </c>
      <c r="AU86" s="170">
        <f ca="1">INDEX('Cap based on indoor unit SZ'!$J$6:$J$21,MATCH(AH86,'Cap based on indoor unit SZ'!$I$6:$I$21))</f>
        <v>19.821111111111112</v>
      </c>
      <c r="AV86" s="179"/>
      <c r="AW86" s="169">
        <f t="shared" si="71"/>
        <v>48.5</v>
      </c>
      <c r="AX86" s="170">
        <v>8.5</v>
      </c>
      <c r="AY86" s="170">
        <v>10</v>
      </c>
      <c r="AZ86" s="170">
        <v>15</v>
      </c>
      <c r="BA86" s="170">
        <v>15</v>
      </c>
      <c r="BB86" s="179"/>
      <c r="BC86" s="172">
        <f t="shared" ca="1" si="72"/>
        <v>40.956666666666649</v>
      </c>
      <c r="BD86" s="173">
        <f t="shared" ca="1" si="111"/>
        <v>6.4668421052631562</v>
      </c>
      <c r="BE86" s="173">
        <f t="shared" ca="1" si="112"/>
        <v>8.6224561403508737</v>
      </c>
      <c r="BF86" s="173">
        <f t="shared" ca="1" si="113"/>
        <v>12.933684210526312</v>
      </c>
      <c r="BG86" s="173">
        <f t="shared" ca="1" si="114"/>
        <v>12.933684210526312</v>
      </c>
      <c r="BH86" s="180"/>
      <c r="BI86" s="166">
        <f t="shared" ca="1" si="75"/>
        <v>50.32039316239316</v>
      </c>
      <c r="BJ86" s="167">
        <f t="shared" ca="1" si="115"/>
        <v>7.9453252361673412</v>
      </c>
      <c r="BK86" s="167">
        <f t="shared" ca="1" si="116"/>
        <v>10.593766981556454</v>
      </c>
      <c r="BL86" s="167">
        <f t="shared" ca="1" si="117"/>
        <v>15.890650472334682</v>
      </c>
      <c r="BM86" s="167">
        <f t="shared" ca="1" si="118"/>
        <v>15.890650472334682</v>
      </c>
      <c r="BN86" s="178"/>
      <c r="BO86" s="169">
        <f t="shared" ca="1" si="78"/>
        <v>76.098687179487172</v>
      </c>
      <c r="BP86" s="170">
        <f ca="1">INDEX('Cap based on indoor unit SZ'!$V$43:$V$58,MATCH(AE86,'Cap based on indoor unit SZ'!$U$43:$U$58))</f>
        <v>11.956020512820512</v>
      </c>
      <c r="BQ86" s="170">
        <f ca="1">INDEX('Cap based on indoor unit SZ'!$V$43:$V$58,MATCH(AF86,'Cap based on indoor unit SZ'!$U$43:$U$58))</f>
        <v>14.945025641025641</v>
      </c>
      <c r="BR86" s="170">
        <f ca="1">INDEX('Cap based on indoor unit SZ'!$V$43:$V$58,MATCH(AG86,'Cap based on indoor unit SZ'!$U$43:$U$58))</f>
        <v>24.598820512820513</v>
      </c>
      <c r="BS86" s="170">
        <f ca="1">INDEX('Cap based on indoor unit SZ'!$V$43:$V$58,MATCH(AH86,'Cap based on indoor unit SZ'!$U$43:$U$58))</f>
        <v>24.598820512820513</v>
      </c>
      <c r="BT86" s="179"/>
      <c r="BU86" s="175">
        <v>9000</v>
      </c>
      <c r="BV86" s="175">
        <v>10500</v>
      </c>
      <c r="BW86" s="175">
        <v>15500</v>
      </c>
      <c r="BX86" s="175">
        <v>15500</v>
      </c>
      <c r="BY86" s="179"/>
      <c r="BZ86" s="172">
        <f t="shared" ca="1" si="79"/>
        <v>50.32039316239316</v>
      </c>
      <c r="CA86" s="173">
        <f t="shared" ca="1" si="119"/>
        <v>7.9453252361673412</v>
      </c>
      <c r="CB86" s="173">
        <f t="shared" ca="1" si="120"/>
        <v>10.593766981556454</v>
      </c>
      <c r="CC86" s="173">
        <f t="shared" ca="1" si="121"/>
        <v>15.890650472334682</v>
      </c>
      <c r="CD86" s="173">
        <f t="shared" ca="1" si="122"/>
        <v>15.890650472334682</v>
      </c>
      <c r="CE86" s="180"/>
      <c r="CF86" s="166">
        <f t="shared" ca="1" si="82"/>
        <v>35.034876164206693</v>
      </c>
      <c r="CG86" s="167">
        <f t="shared" ca="1" si="83"/>
        <v>5.5318225522431614</v>
      </c>
      <c r="CH86" s="167">
        <f t="shared" ca="1" si="84"/>
        <v>7.3757634029908807</v>
      </c>
      <c r="CI86" s="167">
        <f t="shared" ca="1" si="97"/>
        <v>11.063645104486323</v>
      </c>
      <c r="CJ86" s="167">
        <f t="shared" ca="1" si="123"/>
        <v>11.063645104486323</v>
      </c>
      <c r="CK86" s="178"/>
    </row>
    <row r="87" spans="2:89">
      <c r="B87" s="197">
        <v>18</v>
      </c>
      <c r="C87" s="197">
        <v>69.8</v>
      </c>
      <c r="D87" s="197">
        <v>59</v>
      </c>
      <c r="E87" s="198" t="s">
        <v>17</v>
      </c>
      <c r="F87" s="199">
        <v>1.37</v>
      </c>
      <c r="G87" s="200">
        <v>1.41</v>
      </c>
      <c r="H87" s="200">
        <v>1.48</v>
      </c>
      <c r="I87" s="200">
        <v>1.53</v>
      </c>
      <c r="J87" s="200">
        <v>1.57</v>
      </c>
      <c r="K87" s="200">
        <v>1.6</v>
      </c>
      <c r="L87" s="201">
        <v>1.63</v>
      </c>
      <c r="M87" s="201">
        <v>1.79</v>
      </c>
      <c r="N87" s="201">
        <v>1.96</v>
      </c>
      <c r="O87" s="201">
        <v>1.47</v>
      </c>
      <c r="P87" s="201">
        <v>1.52</v>
      </c>
      <c r="Q87" s="201">
        <v>1.32</v>
      </c>
      <c r="R87" s="152"/>
      <c r="S87" s="152"/>
      <c r="T87" s="152"/>
      <c r="U87" s="183"/>
      <c r="V87" s="152"/>
      <c r="W87" s="152"/>
      <c r="X87" s="152"/>
      <c r="Y87" s="152"/>
      <c r="AC87" s="164" t="s">
        <v>149</v>
      </c>
      <c r="AD87" s="164">
        <v>36</v>
      </c>
      <c r="AE87" s="165">
        <v>9</v>
      </c>
      <c r="AF87" s="165">
        <v>18</v>
      </c>
      <c r="AG87" s="165">
        <v>18</v>
      </c>
      <c r="AH87" s="164">
        <v>18</v>
      </c>
      <c r="AI87" s="164"/>
      <c r="AJ87" s="501"/>
      <c r="AK87" s="166">
        <f t="shared" ca="1" si="67"/>
        <v>40.956666666666656</v>
      </c>
      <c r="AL87" s="167">
        <f t="shared" ca="1" si="107"/>
        <v>5.8509523809523794</v>
      </c>
      <c r="AM87" s="167">
        <f t="shared" ca="1" si="108"/>
        <v>11.701904761904759</v>
      </c>
      <c r="AN87" s="167">
        <f t="shared" ca="1" si="109"/>
        <v>11.701904761904759</v>
      </c>
      <c r="AO87" s="167">
        <f t="shared" ca="1" si="110"/>
        <v>11.701904761904759</v>
      </c>
      <c r="AP87" s="178"/>
      <c r="AQ87" s="169">
        <f t="shared" ca="1" si="70"/>
        <v>69.926444444444442</v>
      </c>
      <c r="AR87" s="170">
        <f ca="1">INDEX('Cap based on indoor unit SZ'!$J$6:$J$21,MATCH(AE87,'Cap based on indoor unit SZ'!$I$6:$I$21))</f>
        <v>10.463111111111111</v>
      </c>
      <c r="AS87" s="170">
        <f ca="1">INDEX('Cap based on indoor unit SZ'!$J$6:$J$21,MATCH(AF87,'Cap based on indoor unit SZ'!$I$6:$I$21))</f>
        <v>19.821111111111112</v>
      </c>
      <c r="AT87" s="170">
        <f ca="1">INDEX('Cap based on indoor unit SZ'!$J$6:$J$21,MATCH(AG87,'Cap based on indoor unit SZ'!$I$6:$I$21))</f>
        <v>19.821111111111112</v>
      </c>
      <c r="AU87" s="170">
        <f ca="1">INDEX('Cap based on indoor unit SZ'!$J$6:$J$21,MATCH(AH87,'Cap based on indoor unit SZ'!$I$6:$I$21))</f>
        <v>19.821111111111112</v>
      </c>
      <c r="AV87" s="179"/>
      <c r="AW87" s="169">
        <f t="shared" si="71"/>
        <v>50</v>
      </c>
      <c r="AX87" s="170">
        <v>8</v>
      </c>
      <c r="AY87" s="170">
        <v>14</v>
      </c>
      <c r="AZ87" s="170">
        <v>14</v>
      </c>
      <c r="BA87" s="170">
        <v>14</v>
      </c>
      <c r="BB87" s="179"/>
      <c r="BC87" s="172">
        <f t="shared" ca="1" si="72"/>
        <v>40.956666666666656</v>
      </c>
      <c r="BD87" s="173">
        <f t="shared" ca="1" si="111"/>
        <v>5.8509523809523794</v>
      </c>
      <c r="BE87" s="173">
        <f t="shared" ca="1" si="112"/>
        <v>11.701904761904759</v>
      </c>
      <c r="BF87" s="173">
        <f t="shared" ca="1" si="113"/>
        <v>11.701904761904759</v>
      </c>
      <c r="BG87" s="173">
        <f t="shared" ca="1" si="114"/>
        <v>11.701904761904759</v>
      </c>
      <c r="BH87" s="180"/>
      <c r="BI87" s="166">
        <f t="shared" ca="1" si="75"/>
        <v>50.32039316239316</v>
      </c>
      <c r="BJ87" s="167">
        <f t="shared" ca="1" si="115"/>
        <v>7.1886275946275946</v>
      </c>
      <c r="BK87" s="167">
        <f t="shared" ca="1" si="116"/>
        <v>14.377255189255189</v>
      </c>
      <c r="BL87" s="167">
        <f t="shared" ca="1" si="117"/>
        <v>14.377255189255189</v>
      </c>
      <c r="BM87" s="167">
        <f t="shared" ca="1" si="118"/>
        <v>14.377255189255189</v>
      </c>
      <c r="BN87" s="178"/>
      <c r="BO87" s="169">
        <f t="shared" ca="1" si="78"/>
        <v>85.752482051282044</v>
      </c>
      <c r="BP87" s="170">
        <f ca="1">INDEX('Cap based on indoor unit SZ'!$V$43:$V$58,MATCH(AE87,'Cap based on indoor unit SZ'!$U$43:$U$58))</f>
        <v>11.956020512820512</v>
      </c>
      <c r="BQ87" s="170">
        <f ca="1">INDEX('Cap based on indoor unit SZ'!$V$43:$V$58,MATCH(AF87,'Cap based on indoor unit SZ'!$U$43:$U$58))</f>
        <v>24.598820512820513</v>
      </c>
      <c r="BR87" s="170">
        <f ca="1">INDEX('Cap based on indoor unit SZ'!$V$43:$V$58,MATCH(AG87,'Cap based on indoor unit SZ'!$U$43:$U$58))</f>
        <v>24.598820512820513</v>
      </c>
      <c r="BS87" s="170">
        <f ca="1">INDEX('Cap based on indoor unit SZ'!$V$43:$V$58,MATCH(AH87,'Cap based on indoor unit SZ'!$U$43:$U$58))</f>
        <v>24.598820512820513</v>
      </c>
      <c r="BT87" s="179"/>
      <c r="BU87" s="175">
        <v>8500</v>
      </c>
      <c r="BV87" s="175">
        <v>14500</v>
      </c>
      <c r="BW87" s="175">
        <v>14500</v>
      </c>
      <c r="BX87" s="175">
        <v>14500</v>
      </c>
      <c r="BY87" s="179"/>
      <c r="BZ87" s="172">
        <f t="shared" ca="1" si="79"/>
        <v>50.32039316239316</v>
      </c>
      <c r="CA87" s="173">
        <f t="shared" ca="1" si="119"/>
        <v>7.1886275946275946</v>
      </c>
      <c r="CB87" s="173">
        <f t="shared" ca="1" si="120"/>
        <v>14.377255189255189</v>
      </c>
      <c r="CC87" s="173">
        <f t="shared" ca="1" si="121"/>
        <v>14.377255189255189</v>
      </c>
      <c r="CD87" s="173">
        <f t="shared" ca="1" si="122"/>
        <v>14.377255189255189</v>
      </c>
      <c r="CE87" s="180"/>
      <c r="CF87" s="166">
        <f t="shared" ca="1" si="82"/>
        <v>35.034876164206686</v>
      </c>
      <c r="CG87" s="167">
        <f t="shared" ca="1" si="83"/>
        <v>5.0049823091723837</v>
      </c>
      <c r="CH87" s="167">
        <f t="shared" ca="1" si="84"/>
        <v>10.009964618344767</v>
      </c>
      <c r="CI87" s="167">
        <f t="shared" ca="1" si="97"/>
        <v>10.009964618344767</v>
      </c>
      <c r="CJ87" s="167">
        <f t="shared" ca="1" si="123"/>
        <v>10.009964618344767</v>
      </c>
      <c r="CK87" s="178"/>
    </row>
    <row r="88" spans="2:89">
      <c r="B88" s="197">
        <v>18</v>
      </c>
      <c r="C88" s="197">
        <v>75.2</v>
      </c>
      <c r="D88" s="197">
        <v>62.6</v>
      </c>
      <c r="E88" s="198" t="s">
        <v>17</v>
      </c>
      <c r="F88" s="199">
        <v>1.4</v>
      </c>
      <c r="G88" s="200">
        <v>1.46</v>
      </c>
      <c r="H88" s="200">
        <v>1.53</v>
      </c>
      <c r="I88" s="200">
        <v>1.58</v>
      </c>
      <c r="J88" s="200">
        <v>1.62</v>
      </c>
      <c r="K88" s="200">
        <v>1.65</v>
      </c>
      <c r="L88" s="201">
        <v>1.68</v>
      </c>
      <c r="M88" s="201">
        <v>1.84</v>
      </c>
      <c r="N88" s="201">
        <v>2.0099999999999998</v>
      </c>
      <c r="O88" s="201">
        <v>1.5</v>
      </c>
      <c r="P88" s="201">
        <v>1.54</v>
      </c>
      <c r="Q88" s="201">
        <v>1.35</v>
      </c>
      <c r="R88" s="152"/>
      <c r="S88" s="152"/>
      <c r="T88" s="152"/>
      <c r="U88" s="183"/>
      <c r="V88" s="152"/>
      <c r="W88" s="152"/>
      <c r="X88" s="152"/>
      <c r="Y88" s="152"/>
      <c r="AC88" s="164" t="s">
        <v>148</v>
      </c>
      <c r="AD88" s="164">
        <v>36</v>
      </c>
      <c r="AE88" s="165">
        <v>12</v>
      </c>
      <c r="AF88" s="165">
        <v>12</v>
      </c>
      <c r="AG88" s="165">
        <v>12</v>
      </c>
      <c r="AH88" s="164">
        <v>12</v>
      </c>
      <c r="AI88" s="164"/>
      <c r="AJ88" s="501"/>
      <c r="AK88" s="166">
        <f t="shared" ca="1" si="67"/>
        <v>40.956666666666656</v>
      </c>
      <c r="AL88" s="167">
        <f t="shared" ca="1" si="107"/>
        <v>10.239166666666664</v>
      </c>
      <c r="AM88" s="167">
        <f t="shared" ca="1" si="108"/>
        <v>10.239166666666664</v>
      </c>
      <c r="AN88" s="167">
        <f t="shared" ca="1" si="109"/>
        <v>10.239166666666664</v>
      </c>
      <c r="AO88" s="167">
        <f t="shared" ca="1" si="110"/>
        <v>10.239166666666664</v>
      </c>
      <c r="AP88" s="178"/>
      <c r="AQ88" s="169">
        <f t="shared" ca="1" si="70"/>
        <v>52.315555555555562</v>
      </c>
      <c r="AR88" s="170">
        <f ca="1">INDEX('Cap based on indoor unit SZ'!$J$6:$J$21,MATCH(AE88,'Cap based on indoor unit SZ'!$I$6:$I$21))</f>
        <v>13.078888888888891</v>
      </c>
      <c r="AS88" s="170">
        <f ca="1">INDEX('Cap based on indoor unit SZ'!$J$6:$J$21,MATCH(AF88,'Cap based on indoor unit SZ'!$I$6:$I$21))</f>
        <v>13.078888888888891</v>
      </c>
      <c r="AT88" s="170">
        <f ca="1">INDEX('Cap based on indoor unit SZ'!$J$6:$J$21,MATCH(AG88,'Cap based on indoor unit SZ'!$I$6:$I$21))</f>
        <v>13.078888888888891</v>
      </c>
      <c r="AU88" s="170">
        <f ca="1">INDEX('Cap based on indoor unit SZ'!$J$6:$J$21,MATCH(AH88,'Cap based on indoor unit SZ'!$I$6:$I$21))</f>
        <v>13.078888888888891</v>
      </c>
      <c r="AV88" s="179"/>
      <c r="AW88" s="169">
        <f t="shared" si="71"/>
        <v>48</v>
      </c>
      <c r="AX88" s="170">
        <v>12</v>
      </c>
      <c r="AY88" s="170">
        <v>12</v>
      </c>
      <c r="AZ88" s="170">
        <v>12</v>
      </c>
      <c r="BA88" s="170">
        <v>12</v>
      </c>
      <c r="BB88" s="179"/>
      <c r="BC88" s="172">
        <f t="shared" ca="1" si="72"/>
        <v>40.956666666666656</v>
      </c>
      <c r="BD88" s="173">
        <f t="shared" ca="1" si="111"/>
        <v>10.239166666666664</v>
      </c>
      <c r="BE88" s="173">
        <f t="shared" ca="1" si="112"/>
        <v>10.239166666666664</v>
      </c>
      <c r="BF88" s="173">
        <f t="shared" ca="1" si="113"/>
        <v>10.239166666666664</v>
      </c>
      <c r="BG88" s="173">
        <f t="shared" ca="1" si="114"/>
        <v>10.239166666666664</v>
      </c>
      <c r="BH88" s="180"/>
      <c r="BI88" s="166">
        <f t="shared" ca="1" si="75"/>
        <v>50.32039316239316</v>
      </c>
      <c r="BJ88" s="167">
        <f t="shared" ca="1" si="115"/>
        <v>12.58009829059829</v>
      </c>
      <c r="BK88" s="167">
        <f t="shared" ca="1" si="116"/>
        <v>12.58009829059829</v>
      </c>
      <c r="BL88" s="167">
        <f t="shared" ca="1" si="117"/>
        <v>12.58009829059829</v>
      </c>
      <c r="BM88" s="167">
        <f t="shared" ca="1" si="118"/>
        <v>12.58009829059829</v>
      </c>
      <c r="BN88" s="178"/>
      <c r="BO88" s="169">
        <f t="shared" ca="1" si="78"/>
        <v>59.780102564102563</v>
      </c>
      <c r="BP88" s="170">
        <f ca="1">INDEX('Cap based on indoor unit SZ'!$V$43:$V$58,MATCH(AE88,'Cap based on indoor unit SZ'!$U$43:$U$58))</f>
        <v>14.945025641025641</v>
      </c>
      <c r="BQ88" s="170">
        <f ca="1">INDEX('Cap based on indoor unit SZ'!$V$43:$V$58,MATCH(AF88,'Cap based on indoor unit SZ'!$U$43:$U$58))</f>
        <v>14.945025641025641</v>
      </c>
      <c r="BR88" s="170">
        <f ca="1">INDEX('Cap based on indoor unit SZ'!$V$43:$V$58,MATCH(AG88,'Cap based on indoor unit SZ'!$U$43:$U$58))</f>
        <v>14.945025641025641</v>
      </c>
      <c r="BS88" s="170">
        <f ca="1">INDEX('Cap based on indoor unit SZ'!$V$43:$V$58,MATCH(AH88,'Cap based on indoor unit SZ'!$U$43:$U$58))</f>
        <v>14.945025641025641</v>
      </c>
      <c r="BT88" s="179"/>
      <c r="BU88" s="175">
        <v>12500</v>
      </c>
      <c r="BV88" s="175">
        <v>12500</v>
      </c>
      <c r="BW88" s="175">
        <v>12500</v>
      </c>
      <c r="BX88" s="175">
        <v>12500</v>
      </c>
      <c r="BY88" s="179"/>
      <c r="BZ88" s="172">
        <f t="shared" ca="1" si="79"/>
        <v>50.32039316239316</v>
      </c>
      <c r="CA88" s="173">
        <f t="shared" ca="1" si="119"/>
        <v>12.58009829059829</v>
      </c>
      <c r="CB88" s="173">
        <f t="shared" ca="1" si="120"/>
        <v>12.58009829059829</v>
      </c>
      <c r="CC88" s="173">
        <f t="shared" ca="1" si="121"/>
        <v>12.58009829059829</v>
      </c>
      <c r="CD88" s="173">
        <f t="shared" ca="1" si="122"/>
        <v>12.58009829059829</v>
      </c>
      <c r="CE88" s="180"/>
      <c r="CF88" s="166">
        <f t="shared" ca="1" si="82"/>
        <v>35.034876164206686</v>
      </c>
      <c r="CG88" s="167">
        <f t="shared" ca="1" si="83"/>
        <v>8.7587190410516715</v>
      </c>
      <c r="CH88" s="167">
        <f t="shared" ca="1" si="84"/>
        <v>8.7587190410516715</v>
      </c>
      <c r="CI88" s="167">
        <f t="shared" ca="1" si="97"/>
        <v>8.7587190410516715</v>
      </c>
      <c r="CJ88" s="167">
        <f t="shared" ca="1" si="123"/>
        <v>8.7587190410516715</v>
      </c>
      <c r="CK88" s="178"/>
    </row>
    <row r="89" spans="2:89">
      <c r="B89" s="197">
        <v>18</v>
      </c>
      <c r="C89" s="197">
        <v>80.599999999999994</v>
      </c>
      <c r="D89" s="197">
        <v>66.2</v>
      </c>
      <c r="E89" s="198" t="s">
        <v>17</v>
      </c>
      <c r="F89" s="199">
        <v>1.41</v>
      </c>
      <c r="G89" s="200">
        <v>1.45</v>
      </c>
      <c r="H89" s="200">
        <v>1.51</v>
      </c>
      <c r="I89" s="200">
        <v>1.58</v>
      </c>
      <c r="J89" s="200">
        <v>1.62</v>
      </c>
      <c r="K89" s="200">
        <v>1.65</v>
      </c>
      <c r="L89" s="201">
        <v>1.68</v>
      </c>
      <c r="M89" s="201">
        <v>1.88</v>
      </c>
      <c r="N89" s="201">
        <v>2.0499999999999998</v>
      </c>
      <c r="O89" s="201">
        <v>1.52</v>
      </c>
      <c r="P89" s="201">
        <v>1.57</v>
      </c>
      <c r="Q89" s="201">
        <v>1.36</v>
      </c>
      <c r="R89" s="152"/>
      <c r="S89" s="152"/>
      <c r="T89" s="152"/>
      <c r="U89" s="183"/>
      <c r="V89" s="152"/>
      <c r="W89" s="152"/>
      <c r="X89" s="152"/>
      <c r="Y89" s="152"/>
      <c r="AC89" s="164" t="s">
        <v>147</v>
      </c>
      <c r="AD89" s="164">
        <v>36</v>
      </c>
      <c r="AE89" s="165">
        <v>12</v>
      </c>
      <c r="AF89" s="165">
        <v>12</v>
      </c>
      <c r="AG89" s="165">
        <v>12</v>
      </c>
      <c r="AH89" s="164">
        <v>18</v>
      </c>
      <c r="AI89" s="164"/>
      <c r="AJ89" s="501"/>
      <c r="AK89" s="166">
        <f t="shared" ca="1" si="67"/>
        <v>40.956666666666656</v>
      </c>
      <c r="AL89" s="167">
        <f t="shared" ca="1" si="107"/>
        <v>9.1014814814814784</v>
      </c>
      <c r="AM89" s="167">
        <f t="shared" ca="1" si="108"/>
        <v>9.1014814814814784</v>
      </c>
      <c r="AN89" s="167">
        <f t="shared" ca="1" si="109"/>
        <v>9.1014814814814784</v>
      </c>
      <c r="AO89" s="167">
        <f t="shared" ca="1" si="110"/>
        <v>13.652222222222219</v>
      </c>
      <c r="AP89" s="178"/>
      <c r="AQ89" s="169">
        <f t="shared" ca="1" si="70"/>
        <v>59.057777777777787</v>
      </c>
      <c r="AR89" s="170">
        <f ca="1">INDEX('Cap based on indoor unit SZ'!$J$6:$J$21,MATCH(AE89,'Cap based on indoor unit SZ'!$I$6:$I$21))</f>
        <v>13.078888888888891</v>
      </c>
      <c r="AS89" s="170">
        <f ca="1">INDEX('Cap based on indoor unit SZ'!$J$6:$J$21,MATCH(AF89,'Cap based on indoor unit SZ'!$I$6:$I$21))</f>
        <v>13.078888888888891</v>
      </c>
      <c r="AT89" s="170">
        <f ca="1">INDEX('Cap based on indoor unit SZ'!$J$6:$J$21,MATCH(AG89,'Cap based on indoor unit SZ'!$I$6:$I$21))</f>
        <v>13.078888888888891</v>
      </c>
      <c r="AU89" s="170">
        <f ca="1">INDEX('Cap based on indoor unit SZ'!$J$6:$J$21,MATCH(AH89,'Cap based on indoor unit SZ'!$I$6:$I$21))</f>
        <v>19.821111111111112</v>
      </c>
      <c r="AV89" s="179"/>
      <c r="AW89" s="169">
        <f t="shared" si="71"/>
        <v>49</v>
      </c>
      <c r="AX89" s="170">
        <v>11</v>
      </c>
      <c r="AY89" s="170">
        <v>11</v>
      </c>
      <c r="AZ89" s="170">
        <v>11</v>
      </c>
      <c r="BA89" s="170">
        <v>16</v>
      </c>
      <c r="BB89" s="179"/>
      <c r="BC89" s="172">
        <f t="shared" ca="1" si="72"/>
        <v>40.956666666666656</v>
      </c>
      <c r="BD89" s="173">
        <f t="shared" ca="1" si="111"/>
        <v>9.1014814814814784</v>
      </c>
      <c r="BE89" s="173">
        <f t="shared" ca="1" si="112"/>
        <v>9.1014814814814784</v>
      </c>
      <c r="BF89" s="173">
        <f t="shared" ca="1" si="113"/>
        <v>9.1014814814814784</v>
      </c>
      <c r="BG89" s="173">
        <f t="shared" ca="1" si="114"/>
        <v>13.652222222222219</v>
      </c>
      <c r="BH89" s="180"/>
      <c r="BI89" s="166">
        <f t="shared" ca="1" si="75"/>
        <v>50.32039316239316</v>
      </c>
      <c r="BJ89" s="167">
        <f t="shared" ca="1" si="115"/>
        <v>11.182309591642923</v>
      </c>
      <c r="BK89" s="167">
        <f t="shared" ca="1" si="116"/>
        <v>11.182309591642923</v>
      </c>
      <c r="BL89" s="167">
        <f t="shared" ca="1" si="117"/>
        <v>11.182309591642923</v>
      </c>
      <c r="BM89" s="167">
        <f t="shared" ca="1" si="118"/>
        <v>16.773464387464387</v>
      </c>
      <c r="BN89" s="178"/>
      <c r="BO89" s="169">
        <f t="shared" ca="1" si="78"/>
        <v>69.433897435897435</v>
      </c>
      <c r="BP89" s="170">
        <f ca="1">INDEX('Cap based on indoor unit SZ'!$V$43:$V$58,MATCH(AE89,'Cap based on indoor unit SZ'!$U$43:$U$58))</f>
        <v>14.945025641025641</v>
      </c>
      <c r="BQ89" s="170">
        <f ca="1">INDEX('Cap based on indoor unit SZ'!$V$43:$V$58,MATCH(AF89,'Cap based on indoor unit SZ'!$U$43:$U$58))</f>
        <v>14.945025641025641</v>
      </c>
      <c r="BR89" s="170">
        <f ca="1">INDEX('Cap based on indoor unit SZ'!$V$43:$V$58,MATCH(AG89,'Cap based on indoor unit SZ'!$U$43:$U$58))</f>
        <v>14.945025641025641</v>
      </c>
      <c r="BS89" s="170">
        <f ca="1">INDEX('Cap based on indoor unit SZ'!$V$43:$V$58,MATCH(AH89,'Cap based on indoor unit SZ'!$U$43:$U$58))</f>
        <v>24.598820512820513</v>
      </c>
      <c r="BT89" s="179"/>
      <c r="BU89" s="175">
        <v>11500</v>
      </c>
      <c r="BV89" s="175">
        <v>11500</v>
      </c>
      <c r="BW89" s="175">
        <v>11500</v>
      </c>
      <c r="BX89" s="175">
        <v>16500</v>
      </c>
      <c r="BY89" s="179"/>
      <c r="BZ89" s="172">
        <f t="shared" ca="1" si="79"/>
        <v>50.32039316239316</v>
      </c>
      <c r="CA89" s="173">
        <f t="shared" ca="1" si="119"/>
        <v>11.182309591642923</v>
      </c>
      <c r="CB89" s="173">
        <f t="shared" ca="1" si="120"/>
        <v>11.182309591642923</v>
      </c>
      <c r="CC89" s="173">
        <f t="shared" ca="1" si="121"/>
        <v>11.182309591642923</v>
      </c>
      <c r="CD89" s="173">
        <f t="shared" ca="1" si="122"/>
        <v>16.773464387464387</v>
      </c>
      <c r="CE89" s="180"/>
      <c r="CF89" s="166">
        <f t="shared" ca="1" si="82"/>
        <v>35.034876164206686</v>
      </c>
      <c r="CG89" s="167">
        <f t="shared" ca="1" si="83"/>
        <v>7.7855280364903745</v>
      </c>
      <c r="CH89" s="167">
        <f t="shared" ca="1" si="84"/>
        <v>7.7855280364903745</v>
      </c>
      <c r="CI89" s="167">
        <f t="shared" ca="1" si="97"/>
        <v>7.7855280364903745</v>
      </c>
      <c r="CJ89" s="167">
        <f t="shared" ca="1" si="123"/>
        <v>11.678292054735564</v>
      </c>
      <c r="CK89" s="178"/>
    </row>
    <row r="90" spans="2:89">
      <c r="B90" s="197">
        <v>18</v>
      </c>
      <c r="C90" s="197">
        <v>89.6</v>
      </c>
      <c r="D90" s="197">
        <v>73.400000000000006</v>
      </c>
      <c r="E90" s="198" t="s">
        <v>17</v>
      </c>
      <c r="F90" s="199">
        <v>1.46</v>
      </c>
      <c r="G90" s="200">
        <v>1.5</v>
      </c>
      <c r="H90" s="200">
        <v>1.56</v>
      </c>
      <c r="I90" s="200">
        <v>1.63</v>
      </c>
      <c r="J90" s="200">
        <v>1.67</v>
      </c>
      <c r="K90" s="200">
        <v>1.72</v>
      </c>
      <c r="L90" s="201">
        <v>1.73</v>
      </c>
      <c r="M90" s="201">
        <v>1.93</v>
      </c>
      <c r="N90" s="201">
        <v>2.14</v>
      </c>
      <c r="O90" s="201">
        <v>1.57</v>
      </c>
      <c r="P90" s="201">
        <v>1.62</v>
      </c>
      <c r="Q90" s="201">
        <v>1.41</v>
      </c>
      <c r="R90" s="152"/>
      <c r="S90" s="152"/>
      <c r="T90" s="152"/>
      <c r="U90" s="183"/>
      <c r="V90" s="152"/>
      <c r="W90" s="152"/>
      <c r="X90" s="152"/>
      <c r="Y90" s="152"/>
      <c r="AC90" s="164" t="s">
        <v>146</v>
      </c>
      <c r="AD90" s="164">
        <v>36</v>
      </c>
      <c r="AE90" s="165">
        <v>12</v>
      </c>
      <c r="AF90" s="165">
        <v>12</v>
      </c>
      <c r="AG90" s="165">
        <v>12</v>
      </c>
      <c r="AH90" s="164">
        <v>24</v>
      </c>
      <c r="AI90" s="164"/>
      <c r="AJ90" s="501"/>
      <c r="AK90" s="166">
        <f t="shared" ca="1" si="67"/>
        <v>40.956666666666649</v>
      </c>
      <c r="AL90" s="167">
        <f t="shared" ca="1" si="107"/>
        <v>8.1913333333333309</v>
      </c>
      <c r="AM90" s="167">
        <f t="shared" ca="1" si="108"/>
        <v>8.1913333333333309</v>
      </c>
      <c r="AN90" s="167">
        <f t="shared" ca="1" si="109"/>
        <v>8.1913333333333309</v>
      </c>
      <c r="AO90" s="167">
        <f t="shared" ca="1" si="110"/>
        <v>16.382666666666662</v>
      </c>
      <c r="AP90" s="178"/>
      <c r="AQ90" s="169">
        <f t="shared" ca="1" si="70"/>
        <v>63.68888888888889</v>
      </c>
      <c r="AR90" s="170">
        <f ca="1">INDEX('Cap based on indoor unit SZ'!$J$6:$J$21,MATCH(AE90,'Cap based on indoor unit SZ'!$I$6:$I$21))</f>
        <v>13.078888888888891</v>
      </c>
      <c r="AS90" s="170">
        <f ca="1">INDEX('Cap based on indoor unit SZ'!$J$6:$J$21,MATCH(AF90,'Cap based on indoor unit SZ'!$I$6:$I$21))</f>
        <v>13.078888888888891</v>
      </c>
      <c r="AT90" s="170">
        <f ca="1">INDEX('Cap based on indoor unit SZ'!$J$6:$J$21,MATCH(AG90,'Cap based on indoor unit SZ'!$I$6:$I$21))</f>
        <v>13.078888888888891</v>
      </c>
      <c r="AU90" s="170">
        <f ca="1">INDEX('Cap based on indoor unit SZ'!$J$6:$J$21,MATCH(AH90,'Cap based on indoor unit SZ'!$I$6:$I$21))</f>
        <v>24.452222222222218</v>
      </c>
      <c r="AV90" s="179"/>
      <c r="AW90" s="169">
        <f t="shared" si="71"/>
        <v>50</v>
      </c>
      <c r="AX90" s="170">
        <v>10</v>
      </c>
      <c r="AY90" s="170">
        <v>10</v>
      </c>
      <c r="AZ90" s="170">
        <v>10</v>
      </c>
      <c r="BA90" s="170">
        <v>20</v>
      </c>
      <c r="BB90" s="179"/>
      <c r="BC90" s="172">
        <f t="shared" ca="1" si="72"/>
        <v>40.956666666666649</v>
      </c>
      <c r="BD90" s="173">
        <f t="shared" ca="1" si="111"/>
        <v>8.1913333333333309</v>
      </c>
      <c r="BE90" s="173">
        <f t="shared" ca="1" si="112"/>
        <v>8.1913333333333309</v>
      </c>
      <c r="BF90" s="173">
        <f t="shared" ca="1" si="113"/>
        <v>8.1913333333333309</v>
      </c>
      <c r="BG90" s="173">
        <f t="shared" ca="1" si="114"/>
        <v>16.382666666666662</v>
      </c>
      <c r="BH90" s="180"/>
      <c r="BI90" s="166">
        <f t="shared" ca="1" si="75"/>
        <v>50.320393162393167</v>
      </c>
      <c r="BJ90" s="167">
        <f t="shared" ca="1" si="115"/>
        <v>10.064078632478633</v>
      </c>
      <c r="BK90" s="167">
        <f t="shared" ca="1" si="116"/>
        <v>10.064078632478633</v>
      </c>
      <c r="BL90" s="167">
        <f t="shared" ca="1" si="117"/>
        <v>10.064078632478633</v>
      </c>
      <c r="BM90" s="167">
        <f t="shared" ca="1" si="118"/>
        <v>20.128157264957267</v>
      </c>
      <c r="BN90" s="178"/>
      <c r="BO90" s="169">
        <f t="shared" ca="1" si="78"/>
        <v>75.125076923076932</v>
      </c>
      <c r="BP90" s="170">
        <f ca="1">INDEX('Cap based on indoor unit SZ'!$V$43:$V$58,MATCH(AE90,'Cap based on indoor unit SZ'!$U$43:$U$58))</f>
        <v>14.945025641025641</v>
      </c>
      <c r="BQ90" s="170">
        <f ca="1">INDEX('Cap based on indoor unit SZ'!$V$43:$V$58,MATCH(AF90,'Cap based on indoor unit SZ'!$U$43:$U$58))</f>
        <v>14.945025641025641</v>
      </c>
      <c r="BR90" s="170">
        <f ca="1">INDEX('Cap based on indoor unit SZ'!$V$43:$V$58,MATCH(AG90,'Cap based on indoor unit SZ'!$U$43:$U$58))</f>
        <v>14.945025641025641</v>
      </c>
      <c r="BS90" s="170">
        <f ca="1">INDEX('Cap based on indoor unit SZ'!$V$43:$V$58,MATCH(AH90,'Cap based on indoor unit SZ'!$U$43:$U$58))</f>
        <v>30.290000000000003</v>
      </c>
      <c r="BT90" s="179"/>
      <c r="BU90" s="175">
        <v>10500</v>
      </c>
      <c r="BV90" s="175">
        <v>10500</v>
      </c>
      <c r="BW90" s="175">
        <v>10500</v>
      </c>
      <c r="BX90" s="175">
        <v>20500</v>
      </c>
      <c r="BY90" s="179"/>
      <c r="BZ90" s="172">
        <f t="shared" ca="1" si="79"/>
        <v>50.320393162393167</v>
      </c>
      <c r="CA90" s="173">
        <f t="shared" ca="1" si="119"/>
        <v>10.064078632478633</v>
      </c>
      <c r="CB90" s="173">
        <f t="shared" ca="1" si="120"/>
        <v>10.064078632478633</v>
      </c>
      <c r="CC90" s="173">
        <f t="shared" ca="1" si="121"/>
        <v>10.064078632478633</v>
      </c>
      <c r="CD90" s="173">
        <f t="shared" ca="1" si="122"/>
        <v>20.128157264957267</v>
      </c>
      <c r="CE90" s="180"/>
      <c r="CF90" s="166">
        <f t="shared" ca="1" si="82"/>
        <v>35.034876164206693</v>
      </c>
      <c r="CG90" s="167">
        <f t="shared" ca="1" si="83"/>
        <v>7.0069752328413379</v>
      </c>
      <c r="CH90" s="167">
        <f t="shared" ca="1" si="84"/>
        <v>7.0069752328413379</v>
      </c>
      <c r="CI90" s="167">
        <f t="shared" ca="1" si="97"/>
        <v>7.0069752328413379</v>
      </c>
      <c r="CJ90" s="167">
        <f t="shared" ca="1" si="123"/>
        <v>14.013950465682676</v>
      </c>
      <c r="CK90" s="178"/>
    </row>
    <row r="91" spans="2:89">
      <c r="B91" s="197">
        <v>24</v>
      </c>
      <c r="C91" s="197">
        <v>69.8</v>
      </c>
      <c r="D91" s="197">
        <v>59</v>
      </c>
      <c r="E91" s="198" t="s">
        <v>17</v>
      </c>
      <c r="F91" s="199">
        <v>2.2599999999999998</v>
      </c>
      <c r="G91" s="200">
        <v>2.3199999999999998</v>
      </c>
      <c r="H91" s="200">
        <v>2.31</v>
      </c>
      <c r="I91" s="200">
        <v>2.34</v>
      </c>
      <c r="J91" s="200">
        <v>2.36</v>
      </c>
      <c r="K91" s="200">
        <v>2.38</v>
      </c>
      <c r="L91" s="201">
        <v>2.41</v>
      </c>
      <c r="M91" s="201">
        <v>2.2599999999999998</v>
      </c>
      <c r="N91" s="201">
        <v>2.5</v>
      </c>
      <c r="O91" s="201">
        <v>2.39</v>
      </c>
      <c r="P91" s="201">
        <v>2.58</v>
      </c>
      <c r="Q91" s="201">
        <v>2.62</v>
      </c>
      <c r="R91" s="152"/>
      <c r="S91" s="152"/>
      <c r="T91" s="152"/>
      <c r="U91" s="183"/>
      <c r="V91" s="152"/>
      <c r="W91" s="152"/>
      <c r="X91" s="152"/>
      <c r="Y91" s="152"/>
      <c r="AC91" s="164" t="s">
        <v>275</v>
      </c>
      <c r="AD91" s="164">
        <v>36</v>
      </c>
      <c r="AE91" s="165">
        <v>12</v>
      </c>
      <c r="AF91" s="165">
        <v>12</v>
      </c>
      <c r="AG91" s="165">
        <v>18</v>
      </c>
      <c r="AH91" s="164">
        <v>18</v>
      </c>
      <c r="AI91" s="164"/>
      <c r="AJ91" s="501"/>
      <c r="AK91" s="166">
        <f t="shared" ca="1" si="67"/>
        <v>40.956666666666656</v>
      </c>
      <c r="AL91" s="167">
        <f t="shared" ca="1" si="107"/>
        <v>8.1913333333333309</v>
      </c>
      <c r="AM91" s="167">
        <f t="shared" ca="1" si="108"/>
        <v>8.1913333333333309</v>
      </c>
      <c r="AN91" s="167">
        <f t="shared" ca="1" si="109"/>
        <v>12.286999999999997</v>
      </c>
      <c r="AO91" s="167">
        <f t="shared" ca="1" si="110"/>
        <v>12.286999999999997</v>
      </c>
      <c r="AP91" s="178"/>
      <c r="AQ91" s="169">
        <f t="shared" ca="1" si="70"/>
        <v>65.8</v>
      </c>
      <c r="AR91" s="170">
        <f ca="1">INDEX('Cap based on indoor unit SZ'!$J$6:$J$21,MATCH(AE91,'Cap based on indoor unit SZ'!$I$6:$I$21))</f>
        <v>13.078888888888891</v>
      </c>
      <c r="AS91" s="170">
        <f ca="1">INDEX('Cap based on indoor unit SZ'!$J$6:$J$21,MATCH(AF91,'Cap based on indoor unit SZ'!$I$6:$I$21))</f>
        <v>13.078888888888891</v>
      </c>
      <c r="AT91" s="170">
        <f ca="1">INDEX('Cap based on indoor unit SZ'!$J$6:$J$21,MATCH(AG91,'Cap based on indoor unit SZ'!$I$6:$I$21))</f>
        <v>19.821111111111112</v>
      </c>
      <c r="AU91" s="170">
        <f ca="1">INDEX('Cap based on indoor unit SZ'!$J$6:$J$21,MATCH(AH91,'Cap based on indoor unit SZ'!$I$6:$I$21))</f>
        <v>19.821111111111112</v>
      </c>
      <c r="AV91" s="179"/>
      <c r="AW91" s="169">
        <f t="shared" si="71"/>
        <v>50</v>
      </c>
      <c r="AX91" s="170">
        <v>10</v>
      </c>
      <c r="AY91" s="170">
        <v>10</v>
      </c>
      <c r="AZ91" s="170">
        <v>15</v>
      </c>
      <c r="BA91" s="170">
        <v>15</v>
      </c>
      <c r="BB91" s="179"/>
      <c r="BC91" s="172">
        <f t="shared" ca="1" si="72"/>
        <v>40.956666666666656</v>
      </c>
      <c r="BD91" s="173">
        <f t="shared" ca="1" si="111"/>
        <v>8.1913333333333309</v>
      </c>
      <c r="BE91" s="173">
        <f t="shared" ca="1" si="112"/>
        <v>8.1913333333333309</v>
      </c>
      <c r="BF91" s="173">
        <f t="shared" ca="1" si="113"/>
        <v>12.286999999999997</v>
      </c>
      <c r="BG91" s="173">
        <f t="shared" ca="1" si="114"/>
        <v>12.286999999999997</v>
      </c>
      <c r="BH91" s="180"/>
      <c r="BI91" s="166">
        <f t="shared" ca="1" si="75"/>
        <v>50.32039316239316</v>
      </c>
      <c r="BJ91" s="167">
        <f t="shared" ca="1" si="115"/>
        <v>10.064078632478633</v>
      </c>
      <c r="BK91" s="167">
        <f t="shared" ca="1" si="116"/>
        <v>10.064078632478633</v>
      </c>
      <c r="BL91" s="167">
        <f t="shared" ca="1" si="117"/>
        <v>15.09611794871795</v>
      </c>
      <c r="BM91" s="167">
        <f t="shared" ca="1" si="118"/>
        <v>15.09611794871795</v>
      </c>
      <c r="BN91" s="178"/>
      <c r="BO91" s="169">
        <f t="shared" ca="1" si="78"/>
        <v>79.087692307692308</v>
      </c>
      <c r="BP91" s="170">
        <f ca="1">INDEX('Cap based on indoor unit SZ'!$V$43:$V$58,MATCH(AE91,'Cap based on indoor unit SZ'!$U$43:$U$58))</f>
        <v>14.945025641025641</v>
      </c>
      <c r="BQ91" s="170">
        <f ca="1">INDEX('Cap based on indoor unit SZ'!$V$43:$V$58,MATCH(AF91,'Cap based on indoor unit SZ'!$U$43:$U$58))</f>
        <v>14.945025641025641</v>
      </c>
      <c r="BR91" s="170">
        <f ca="1">INDEX('Cap based on indoor unit SZ'!$V$43:$V$58,MATCH(AG91,'Cap based on indoor unit SZ'!$U$43:$U$58))</f>
        <v>24.598820512820513</v>
      </c>
      <c r="BS91" s="170">
        <f ca="1">INDEX('Cap based on indoor unit SZ'!$V$43:$V$58,MATCH(AH91,'Cap based on indoor unit SZ'!$U$43:$U$58))</f>
        <v>24.598820512820513</v>
      </c>
      <c r="BT91" s="179"/>
      <c r="BU91" s="175">
        <v>10500</v>
      </c>
      <c r="BV91" s="175">
        <v>10500</v>
      </c>
      <c r="BW91" s="175">
        <v>15500</v>
      </c>
      <c r="BX91" s="175">
        <v>15500</v>
      </c>
      <c r="BY91" s="179"/>
      <c r="BZ91" s="172">
        <f t="shared" ca="1" si="79"/>
        <v>50.32039316239316</v>
      </c>
      <c r="CA91" s="173">
        <f t="shared" ca="1" si="119"/>
        <v>10.064078632478633</v>
      </c>
      <c r="CB91" s="173">
        <f t="shared" ca="1" si="120"/>
        <v>10.064078632478633</v>
      </c>
      <c r="CC91" s="173">
        <f t="shared" ca="1" si="121"/>
        <v>15.09611794871795</v>
      </c>
      <c r="CD91" s="173">
        <f t="shared" ca="1" si="122"/>
        <v>15.09611794871795</v>
      </c>
      <c r="CE91" s="180"/>
      <c r="CF91" s="166">
        <f t="shared" ca="1" si="82"/>
        <v>35.034876164206686</v>
      </c>
      <c r="CG91" s="167">
        <f t="shared" ca="1" si="83"/>
        <v>7.0069752328413379</v>
      </c>
      <c r="CH91" s="167">
        <f t="shared" ca="1" si="84"/>
        <v>7.0069752328413379</v>
      </c>
      <c r="CI91" s="167">
        <f t="shared" ca="1" si="97"/>
        <v>10.510462849262007</v>
      </c>
      <c r="CJ91" s="167">
        <f t="shared" ca="1" si="123"/>
        <v>10.510462849262007</v>
      </c>
      <c r="CK91" s="178"/>
    </row>
    <row r="92" spans="2:89">
      <c r="B92" s="197">
        <v>24</v>
      </c>
      <c r="C92" s="197">
        <v>75.2</v>
      </c>
      <c r="D92" s="197">
        <v>62.6</v>
      </c>
      <c r="E92" s="198" t="s">
        <v>17</v>
      </c>
      <c r="F92" s="199">
        <v>2.2999999999999998</v>
      </c>
      <c r="G92" s="200">
        <v>2.36</v>
      </c>
      <c r="H92" s="200">
        <v>2.35</v>
      </c>
      <c r="I92" s="200">
        <v>2.38</v>
      </c>
      <c r="J92" s="200">
        <v>2.4</v>
      </c>
      <c r="K92" s="200">
        <v>2.42</v>
      </c>
      <c r="L92" s="201">
        <v>2.4500000000000002</v>
      </c>
      <c r="M92" s="201">
        <v>2.2999999999999998</v>
      </c>
      <c r="N92" s="201">
        <v>2.54</v>
      </c>
      <c r="O92" s="201">
        <v>2.4300000000000002</v>
      </c>
      <c r="P92" s="201">
        <v>2.6</v>
      </c>
      <c r="Q92" s="201">
        <v>2.66</v>
      </c>
      <c r="R92" s="152"/>
      <c r="S92" s="152"/>
      <c r="T92" s="152"/>
      <c r="U92" s="183"/>
      <c r="V92" s="152"/>
      <c r="W92" s="152"/>
      <c r="X92" s="152"/>
      <c r="Y92" s="152"/>
      <c r="AC92" s="160" t="s">
        <v>50</v>
      </c>
      <c r="AD92" s="160">
        <v>48</v>
      </c>
      <c r="AE92" s="160"/>
      <c r="AF92" s="160"/>
      <c r="AG92" s="160"/>
      <c r="AH92" s="160"/>
      <c r="AI92" s="160"/>
      <c r="AJ92" s="160"/>
      <c r="AK92" s="166"/>
      <c r="AL92" s="162" t="s">
        <v>60</v>
      </c>
      <c r="AM92" s="162" t="s">
        <v>61</v>
      </c>
      <c r="AN92" s="162" t="s">
        <v>62</v>
      </c>
      <c r="AO92" s="162" t="s">
        <v>63</v>
      </c>
      <c r="AP92" s="162" t="s">
        <v>64</v>
      </c>
      <c r="AQ92" s="169"/>
      <c r="AR92" s="160" t="s">
        <v>60</v>
      </c>
      <c r="AS92" s="160" t="s">
        <v>61</v>
      </c>
      <c r="AT92" s="160" t="s">
        <v>62</v>
      </c>
      <c r="AU92" s="160" t="s">
        <v>63</v>
      </c>
      <c r="AV92" s="160" t="s">
        <v>64</v>
      </c>
      <c r="AW92" s="169"/>
      <c r="AX92" s="160" t="s">
        <v>60</v>
      </c>
      <c r="AY92" s="160" t="s">
        <v>61</v>
      </c>
      <c r="AZ92" s="160" t="s">
        <v>62</v>
      </c>
      <c r="BA92" s="160" t="s">
        <v>63</v>
      </c>
      <c r="BB92" s="160" t="s">
        <v>64</v>
      </c>
      <c r="BC92" s="172"/>
      <c r="BD92" s="163" t="s">
        <v>60</v>
      </c>
      <c r="BE92" s="163" t="s">
        <v>61</v>
      </c>
      <c r="BF92" s="163" t="s">
        <v>62</v>
      </c>
      <c r="BG92" s="163" t="s">
        <v>63</v>
      </c>
      <c r="BH92" s="163" t="s">
        <v>64</v>
      </c>
      <c r="BI92" s="166"/>
      <c r="BJ92" s="162" t="s">
        <v>60</v>
      </c>
      <c r="BK92" s="162" t="s">
        <v>61</v>
      </c>
      <c r="BL92" s="162" t="s">
        <v>62</v>
      </c>
      <c r="BM92" s="162" t="s">
        <v>63</v>
      </c>
      <c r="BN92" s="162" t="s">
        <v>64</v>
      </c>
      <c r="BO92" s="169"/>
      <c r="BP92" s="160" t="s">
        <v>60</v>
      </c>
      <c r="BQ92" s="160" t="s">
        <v>61</v>
      </c>
      <c r="BR92" s="160" t="s">
        <v>62</v>
      </c>
      <c r="BS92" s="160" t="s">
        <v>63</v>
      </c>
      <c r="BT92" s="160" t="s">
        <v>64</v>
      </c>
      <c r="BU92" s="160" t="s">
        <v>60</v>
      </c>
      <c r="BV92" s="160" t="s">
        <v>61</v>
      </c>
      <c r="BW92" s="160" t="s">
        <v>62</v>
      </c>
      <c r="BX92" s="160" t="s">
        <v>63</v>
      </c>
      <c r="BY92" s="160" t="s">
        <v>64</v>
      </c>
      <c r="BZ92" s="172"/>
      <c r="CA92" s="163" t="s">
        <v>60</v>
      </c>
      <c r="CB92" s="163" t="s">
        <v>61</v>
      </c>
      <c r="CC92" s="163" t="s">
        <v>62</v>
      </c>
      <c r="CD92" s="163" t="s">
        <v>63</v>
      </c>
      <c r="CE92" s="163" t="s">
        <v>64</v>
      </c>
      <c r="CF92" s="166"/>
      <c r="CG92" s="162" t="s">
        <v>60</v>
      </c>
      <c r="CH92" s="162" t="s">
        <v>61</v>
      </c>
      <c r="CI92" s="162" t="s">
        <v>62</v>
      </c>
      <c r="CJ92" s="162" t="s">
        <v>63</v>
      </c>
      <c r="CK92" s="162" t="s">
        <v>64</v>
      </c>
    </row>
    <row r="93" spans="2:89">
      <c r="B93" s="197">
        <v>24</v>
      </c>
      <c r="C93" s="197">
        <v>80.599999999999994</v>
      </c>
      <c r="D93" s="197">
        <v>66.2</v>
      </c>
      <c r="E93" s="198" t="s">
        <v>17</v>
      </c>
      <c r="F93" s="199">
        <v>2.2000000000000002</v>
      </c>
      <c r="G93" s="200">
        <v>2.25</v>
      </c>
      <c r="H93" s="200">
        <v>2.2799999999999998</v>
      </c>
      <c r="I93" s="200">
        <v>2.34</v>
      </c>
      <c r="J93" s="200">
        <v>2.35</v>
      </c>
      <c r="K93" s="200">
        <v>2.41</v>
      </c>
      <c r="L93" s="201">
        <v>2.4700000000000002</v>
      </c>
      <c r="M93" s="201">
        <v>2.75</v>
      </c>
      <c r="N93" s="201">
        <v>3.04</v>
      </c>
      <c r="O93" s="201">
        <v>2.48</v>
      </c>
      <c r="P93" s="201">
        <v>2.62</v>
      </c>
      <c r="Q93" s="201">
        <v>2.74</v>
      </c>
      <c r="R93" s="152"/>
      <c r="S93" s="232">
        <v>1</v>
      </c>
      <c r="T93" s="152" t="s">
        <v>29</v>
      </c>
      <c r="U93" s="183"/>
      <c r="V93" s="152"/>
      <c r="W93" s="152"/>
      <c r="X93" s="152"/>
      <c r="Y93" s="152"/>
      <c r="AC93" s="164" t="s">
        <v>188</v>
      </c>
      <c r="AD93" s="164">
        <v>48</v>
      </c>
      <c r="AE93" s="165">
        <v>9</v>
      </c>
      <c r="AF93" s="165">
        <v>18</v>
      </c>
      <c r="AG93" s="165"/>
      <c r="AH93" s="164"/>
      <c r="AI93" s="164"/>
      <c r="AJ93" s="500">
        <v>2</v>
      </c>
      <c r="AK93" s="166">
        <f t="shared" ref="AK93:AK124" ca="1" si="136">SUM(AL93:AP93)</f>
        <v>30.284222222222223</v>
      </c>
      <c r="AL93" s="167">
        <f t="shared" ref="AL93:AL100" ca="1" si="137">IF((INDEX($AA$4:$AA$7,MATCH(INDOOR_1,$Z$4:$Z$7))*(INDEX($X$27:$X$46,MATCH($AD93,$W$27:$W$46,1))/(INDEX($AA$4:$AA$7,MATCH(INDOOR_1,$Z$4:$Z$7))+INDEX($AA$4:$AA$7,MATCH(INDOOR_2,$Z$4:$Z$7)))))
&gt;AR93,AR93,
(INDEX($AA$4:$AA$7,MATCH(INDOOR_1,$Z$4:$Z$7))*(INDEX($X$27:$X$46,MATCH($AD93,$W$27:$W$46,1))/(INDEX($AA$4:$AA$7,MATCH(INDOOR_1,$Z$4:$Z$7))+INDEX($AA$4:$AA$7,MATCH(INDOOR_2,$Z$4:$Z$7))))))</f>
        <v>10.463111111111111</v>
      </c>
      <c r="AM93" s="167">
        <f t="shared" ref="AM93:AM100" ca="1" si="138">IF((INDEX($AA$4:$AA$7,MATCH(INDOOR_2,$Z$4:$Z$7))*(INDEX($X$27:$X$46,MATCH($AD93,$W$27:$W$46,1))/(INDEX($AA$4:$AA$7,MATCH(INDOOR_1,$Z$4:$Z$7))+INDEX($AA$4:$AA$7,MATCH(INDOOR_2,$Z$4:$Z$7)))))
&gt;AS93,AS93,
(INDEX($AA$4:$AA$7,MATCH(INDOOR_2,$Z$4:$Z$7))*(INDEX($X$27:$X$46,MATCH($AD93,$W$27:$W$46,1))/(INDEX($AA$4:$AA$7,MATCH(INDOOR_1,$Z$4:$Z$7))+INDEX($AA$4:$AA$7,MATCH(INDOOR_2,$Z$4:$Z$7))))))</f>
        <v>19.821111111111112</v>
      </c>
      <c r="AN93" s="178"/>
      <c r="AO93" s="178"/>
      <c r="AP93" s="178"/>
      <c r="AQ93" s="169">
        <f t="shared" ref="AQ93:AQ124" ca="1" si="139">SUM(AR93:AV93)</f>
        <v>30.284222222222223</v>
      </c>
      <c r="AR93" s="170">
        <f ca="1">INDEX('Cap based on indoor unit SZ'!$J$6:$J$21,MATCH(AE93,'Cap based on indoor unit SZ'!$I$6:$I$21))</f>
        <v>10.463111111111111</v>
      </c>
      <c r="AS93" s="170">
        <f ca="1">INDEX('Cap based on indoor unit SZ'!$J$6:$J$21,MATCH(AF93,'Cap based on indoor unit SZ'!$I$6:$I$21))</f>
        <v>19.821111111111112</v>
      </c>
      <c r="AT93" s="179"/>
      <c r="AU93" s="179"/>
      <c r="AV93" s="179"/>
      <c r="AW93" s="169">
        <f t="shared" ref="AW93:AW148" si="140">SUM(AX93:BB93)</f>
        <v>27.5</v>
      </c>
      <c r="AX93" s="170">
        <v>9.5</v>
      </c>
      <c r="AY93" s="170">
        <v>18</v>
      </c>
      <c r="AZ93" s="179"/>
      <c r="BA93" s="179"/>
      <c r="BB93" s="179"/>
      <c r="BC93" s="172">
        <f t="shared" ref="BC93:BC124" ca="1" si="141">SUM(BD93:BH93)</f>
        <v>51.604444444444425</v>
      </c>
      <c r="BD93" s="173">
        <f t="shared" ref="BD93:BD100" ca="1" si="142">(INDEX($AA$4:$AA$7,MATCH(AE93,$Z$4:$Z$7))*(INDEX($X$27:$X$46,MATCH($AD93,$W$27:$W$46,1))/(INDEX($AA$4:$AA$7,MATCH(AE93,$Z$4:$Z$7))+INDEX($AA$4:$AA$7,MATCH(AF93,$Z$4:$Z$7)))))</f>
        <v>17.201481481481476</v>
      </c>
      <c r="BE93" s="173">
        <f t="shared" ref="BE93:BE100" ca="1" si="143">(INDEX($AA$4:$AA$7,MATCH(AF93,$Z$4:$Z$7))*(INDEX($X$27:$X$46,MATCH($AD93,$W$27:$W$46,1))/(INDEX($AA$4:$AA$7,MATCH(AE93,$Z$4:$Z$7))+INDEX($AA$4:$AA$7,MATCH(AF93,$Z$4:$Z$7)))))</f>
        <v>34.402962962962953</v>
      </c>
      <c r="BF93" s="180"/>
      <c r="BG93" s="180"/>
      <c r="BH93" s="180"/>
      <c r="BI93" s="166">
        <f t="shared" ref="BI93:BI124" ca="1" si="144">SUM(BJ93:BN93)</f>
        <v>36.554841025641025</v>
      </c>
      <c r="BJ93" s="167">
        <f t="shared" ref="BJ93:BJ100" ca="1" si="145">IF((INDEX($AA$4:$AA$7,MATCH(INDOOR_1,$Z$4:$Z$7))*(INDEX($X$118:$X$137,MATCH($AD93,$W$118:$W$137,1))/(INDEX($AA$4:$AA$7,MATCH(INDOOR_1,$Z$4:$Z$7))+INDEX($AA$4:$AA$7,MATCH(INDOOR_2,$Z$4:$Z$7)))))
&gt;BP93,BP93,
(INDEX($AA$4:$AA$7,MATCH(INDOOR_1,$Z$4:$Z$7))*(INDEX($X$118:$X$137,MATCH($AD93,$W$118:$W$137,1))/(INDEX($AA$4:$AA$7,MATCH(INDOOR_1,$Z$4:$Z$7))+INDEX($AA$4:$AA$7,MATCH(INDOOR_2,$Z$4:$Z$7))))))</f>
        <v>11.956020512820512</v>
      </c>
      <c r="BK93" s="167">
        <f t="shared" ref="BK93:BK100" ca="1" si="146">IF((INDEX($AA$4:$AA$7,MATCH(INDOOR_2,$Z$4:$Z$7))*(INDEX($X$118:$X$137,MATCH($AD93,$W$118:$W$137,1))/(INDEX($AA$4:$AA$7,MATCH(INDOOR_1,$Z$4:$Z$7))+INDEX($AA$4:$AA$7,MATCH(INDOOR_2,$Z$4:$Z$7)))))
&gt;BQ93,BQ93,
(INDEX($AA$4:$AA$7,MATCH(INDOOR_2,$Z$4:$Z$7))*(INDEX($X$118:$X$137,MATCH($AD93,$W$118:$W$137,1))/(INDEX($AA$4:$AA$7,MATCH(INDOOR_1,$Z$4:$Z$7))+INDEX($AA$4:$AA$7,MATCH(INDOOR_2,$Z$4:$Z$7))))))</f>
        <v>24.598820512820513</v>
      </c>
      <c r="BL93" s="178"/>
      <c r="BM93" s="178"/>
      <c r="BN93" s="178"/>
      <c r="BO93" s="169">
        <f t="shared" ref="BO93:BO124" ca="1" si="147">SUM(BP93:BT93)</f>
        <v>36.554841025641025</v>
      </c>
      <c r="BP93" s="170">
        <f ca="1">INDEX('Cap based on indoor unit SZ'!$V$43:$V$58,MATCH(AE93,'Cap based on indoor unit SZ'!$U$43:$U$58))</f>
        <v>11.956020512820512</v>
      </c>
      <c r="BQ93" s="170">
        <f ca="1">INDEX('Cap based on indoor unit SZ'!$V$43:$V$58,MATCH(AF93,'Cap based on indoor unit SZ'!$U$43:$U$58))</f>
        <v>24.598820512820513</v>
      </c>
      <c r="BR93" s="179"/>
      <c r="BS93" s="179"/>
      <c r="BT93" s="179"/>
      <c r="BU93" s="175">
        <v>10000</v>
      </c>
      <c r="BV93" s="175">
        <v>18000</v>
      </c>
      <c r="BW93" s="179"/>
      <c r="BX93" s="179"/>
      <c r="BY93" s="179"/>
      <c r="BZ93" s="172">
        <f t="shared" ref="BZ93:BZ124" ca="1" si="148">SUM(CA93:CE93)</f>
        <v>55.836427350427357</v>
      </c>
      <c r="CA93" s="173">
        <f t="shared" ref="CA93:CA100" ca="1" si="149">(INDEX($AA$4:$AA$7,MATCH(INDOOR_1,$Z$4:$Z$7))*(INDEX($X$118:$X$137,MATCH($AD93,$W$118:$W$137,1))/(INDEX($AA$4:$AA$7,MATCH(INDOOR_1,$Z$4:$Z$7))+INDEX($AA$4:$AA$7,MATCH(INDOOR_2,$Z$4:$Z$7)))))</f>
        <v>18.612142450142453</v>
      </c>
      <c r="CB93" s="173">
        <f t="shared" ref="CB93:CB100" ca="1" si="150">(INDEX($AA$4:$AA$7,MATCH(INDOOR_2,$Z$4:$Z$7))*(INDEX($X$118:$X$137,MATCH($AD93,$W$118:$W$137,1))/(INDEX($AA$4:$AA$7,MATCH(INDOOR_1,$Z$4:$Z$7))+INDEX($AA$4:$AA$7,MATCH(INDOOR_2,$Z$4:$Z$7)))))</f>
        <v>37.224284900284907</v>
      </c>
      <c r="CC93" s="180"/>
      <c r="CD93" s="180"/>
      <c r="CE93" s="180"/>
      <c r="CF93" s="166">
        <f t="shared" ref="CF93:CF124" ca="1" si="151">SUM(CG93:CK93)</f>
        <v>24.595662758887322</v>
      </c>
      <c r="CG93" s="167">
        <f t="shared" ref="CG93:CG124" ca="1" si="152">AL93*(INDEX($X$67:$X$86,MATCH($AD93,$W$67:$W$86,1)))</f>
        <v>8.4977302837520856</v>
      </c>
      <c r="CH93" s="167">
        <f t="shared" ref="CH93:CH124" ca="1" si="153">AM93*(INDEX($X$67:$X$86,MATCH($AD93,$W$67:$W$86,1)))</f>
        <v>16.097932475135234</v>
      </c>
      <c r="CI93" s="178"/>
      <c r="CJ93" s="178"/>
      <c r="CK93" s="178"/>
    </row>
    <row r="94" spans="2:89">
      <c r="B94" s="197">
        <v>24</v>
      </c>
      <c r="C94" s="197">
        <v>89.6</v>
      </c>
      <c r="D94" s="197">
        <v>73.400000000000006</v>
      </c>
      <c r="E94" s="198" t="s">
        <v>17</v>
      </c>
      <c r="F94" s="199">
        <v>2.2599999999999998</v>
      </c>
      <c r="G94" s="200">
        <v>2.3199999999999998</v>
      </c>
      <c r="H94" s="200">
        <v>2.35</v>
      </c>
      <c r="I94" s="200">
        <v>2.38</v>
      </c>
      <c r="J94" s="200">
        <v>2.42</v>
      </c>
      <c r="K94" s="200">
        <v>2.48</v>
      </c>
      <c r="L94" s="201">
        <v>2.54</v>
      </c>
      <c r="M94" s="201">
        <v>2.82</v>
      </c>
      <c r="N94" s="201">
        <v>3.11</v>
      </c>
      <c r="O94" s="201">
        <v>2.5499999999999998</v>
      </c>
      <c r="P94" s="201">
        <v>2.69</v>
      </c>
      <c r="Q94" s="201">
        <v>2.81</v>
      </c>
      <c r="R94" s="152"/>
      <c r="S94" s="232">
        <v>2</v>
      </c>
      <c r="T94" s="152" t="s">
        <v>30</v>
      </c>
      <c r="U94" s="183"/>
      <c r="V94" s="152"/>
      <c r="W94" s="152"/>
      <c r="X94" s="152"/>
      <c r="Y94" s="152"/>
      <c r="AC94" s="164" t="s">
        <v>187</v>
      </c>
      <c r="AD94" s="164">
        <v>48</v>
      </c>
      <c r="AE94" s="165">
        <v>9</v>
      </c>
      <c r="AF94" s="165">
        <v>24</v>
      </c>
      <c r="AG94" s="165"/>
      <c r="AH94" s="164"/>
      <c r="AI94" s="164"/>
      <c r="AJ94" s="500"/>
      <c r="AK94" s="166">
        <f t="shared" ca="1" si="136"/>
        <v>34.915333333333329</v>
      </c>
      <c r="AL94" s="167">
        <f t="shared" ca="1" si="137"/>
        <v>10.463111111111111</v>
      </c>
      <c r="AM94" s="167">
        <f t="shared" ca="1" si="138"/>
        <v>24.452222222222218</v>
      </c>
      <c r="AN94" s="178"/>
      <c r="AO94" s="178"/>
      <c r="AP94" s="178"/>
      <c r="AQ94" s="169">
        <f t="shared" ca="1" si="139"/>
        <v>34.915333333333329</v>
      </c>
      <c r="AR94" s="170">
        <f ca="1">INDEX('Cap based on indoor unit SZ'!$J$6:$J$21,MATCH(AE94,'Cap based on indoor unit SZ'!$I$6:$I$21))</f>
        <v>10.463111111111111</v>
      </c>
      <c r="AS94" s="170">
        <f ca="1">INDEX('Cap based on indoor unit SZ'!$J$6:$J$21,MATCH(AF94,'Cap based on indoor unit SZ'!$I$6:$I$21))</f>
        <v>24.452222222222218</v>
      </c>
      <c r="AT94" s="179"/>
      <c r="AU94" s="179"/>
      <c r="AV94" s="179"/>
      <c r="AW94" s="169">
        <f t="shared" si="140"/>
        <v>33.5</v>
      </c>
      <c r="AX94" s="170">
        <v>9.5</v>
      </c>
      <c r="AY94" s="170">
        <v>24</v>
      </c>
      <c r="AZ94" s="179"/>
      <c r="BA94" s="179"/>
      <c r="BB94" s="179"/>
      <c r="BC94" s="172">
        <f t="shared" ca="1" si="141"/>
        <v>51.604444444444425</v>
      </c>
      <c r="BD94" s="173">
        <f t="shared" ca="1" si="142"/>
        <v>14.073939393939389</v>
      </c>
      <c r="BE94" s="173">
        <f t="shared" ca="1" si="143"/>
        <v>37.530505050505035</v>
      </c>
      <c r="BF94" s="180"/>
      <c r="BG94" s="180"/>
      <c r="BH94" s="180"/>
      <c r="BI94" s="166">
        <f t="shared" ca="1" si="144"/>
        <v>42.246020512820515</v>
      </c>
      <c r="BJ94" s="167">
        <f t="shared" ca="1" si="145"/>
        <v>11.956020512820512</v>
      </c>
      <c r="BK94" s="167">
        <f t="shared" ca="1" si="146"/>
        <v>30.290000000000003</v>
      </c>
      <c r="BL94" s="178"/>
      <c r="BM94" s="178"/>
      <c r="BN94" s="178"/>
      <c r="BO94" s="169">
        <f t="shared" ca="1" si="147"/>
        <v>42.246020512820515</v>
      </c>
      <c r="BP94" s="170">
        <f ca="1">INDEX('Cap based on indoor unit SZ'!$V$43:$V$58,MATCH(AE94,'Cap based on indoor unit SZ'!$U$43:$U$58))</f>
        <v>11.956020512820512</v>
      </c>
      <c r="BQ94" s="170">
        <f ca="1">INDEX('Cap based on indoor unit SZ'!$V$43:$V$58,MATCH(AF94,'Cap based on indoor unit SZ'!$U$43:$U$58))</f>
        <v>30.290000000000003</v>
      </c>
      <c r="BR94" s="179"/>
      <c r="BS94" s="179"/>
      <c r="BT94" s="179"/>
      <c r="BU94" s="175">
        <v>10000</v>
      </c>
      <c r="BV94" s="175">
        <v>25000</v>
      </c>
      <c r="BW94" s="179"/>
      <c r="BX94" s="179"/>
      <c r="BY94" s="179"/>
      <c r="BZ94" s="172">
        <f t="shared" ca="1" si="148"/>
        <v>55.836427350427357</v>
      </c>
      <c r="CA94" s="173">
        <f t="shared" ca="1" si="149"/>
        <v>15.228116550116553</v>
      </c>
      <c r="CB94" s="173">
        <f t="shared" ca="1" si="150"/>
        <v>40.608310800310804</v>
      </c>
      <c r="CC94" s="180"/>
      <c r="CD94" s="180"/>
      <c r="CE94" s="180"/>
      <c r="CF94" s="166">
        <f t="shared" ca="1" si="151"/>
        <v>28.356870368975528</v>
      </c>
      <c r="CG94" s="167">
        <f t="shared" ca="1" si="152"/>
        <v>8.4977302837520856</v>
      </c>
      <c r="CH94" s="167">
        <f t="shared" ca="1" si="153"/>
        <v>19.859140085223444</v>
      </c>
      <c r="CI94" s="178"/>
      <c r="CJ94" s="178"/>
      <c r="CK94" s="178"/>
    </row>
    <row r="95" spans="2:89">
      <c r="B95" s="197">
        <v>30</v>
      </c>
      <c r="C95" s="197">
        <v>69.8</v>
      </c>
      <c r="D95" s="197">
        <v>59</v>
      </c>
      <c r="E95" s="198" t="s">
        <v>17</v>
      </c>
      <c r="F95" s="199">
        <v>3.08</v>
      </c>
      <c r="G95" s="200">
        <v>3.16</v>
      </c>
      <c r="H95" s="200">
        <v>3.18</v>
      </c>
      <c r="I95" s="200">
        <v>3.12</v>
      </c>
      <c r="J95" s="200">
        <v>3.21</v>
      </c>
      <c r="K95" s="200">
        <v>3.24</v>
      </c>
      <c r="L95" s="201">
        <v>3.28</v>
      </c>
      <c r="M95" s="201">
        <v>3.62</v>
      </c>
      <c r="N95" s="201">
        <v>3.99</v>
      </c>
      <c r="O95" s="201">
        <v>3.13</v>
      </c>
      <c r="P95" s="201">
        <v>3.25</v>
      </c>
      <c r="Q95" s="201">
        <v>2.66</v>
      </c>
      <c r="R95" s="152"/>
      <c r="S95" s="232">
        <v>3</v>
      </c>
      <c r="T95" s="152" t="s">
        <v>5</v>
      </c>
      <c r="U95" s="183"/>
      <c r="V95" s="152"/>
      <c r="W95" s="152"/>
      <c r="X95" s="152"/>
      <c r="Y95" s="152"/>
      <c r="AC95" s="164" t="s">
        <v>186</v>
      </c>
      <c r="AD95" s="164">
        <v>48</v>
      </c>
      <c r="AE95" s="165">
        <v>12</v>
      </c>
      <c r="AF95" s="165">
        <v>12</v>
      </c>
      <c r="AG95" s="165"/>
      <c r="AH95" s="164"/>
      <c r="AI95" s="164"/>
      <c r="AJ95" s="500"/>
      <c r="AK95" s="166">
        <f t="shared" ca="1" si="136"/>
        <v>26.157777777777781</v>
      </c>
      <c r="AL95" s="167">
        <f t="shared" ca="1" si="137"/>
        <v>13.078888888888891</v>
      </c>
      <c r="AM95" s="167">
        <f t="shared" ca="1" si="138"/>
        <v>13.078888888888891</v>
      </c>
      <c r="AN95" s="178"/>
      <c r="AO95" s="178"/>
      <c r="AP95" s="178"/>
      <c r="AQ95" s="169">
        <f t="shared" ca="1" si="139"/>
        <v>26.157777777777781</v>
      </c>
      <c r="AR95" s="170">
        <f ca="1">INDEX('Cap based on indoor unit SZ'!$J$6:$J$21,MATCH(AE95,'Cap based on indoor unit SZ'!$I$6:$I$21))</f>
        <v>13.078888888888891</v>
      </c>
      <c r="AS95" s="170">
        <f ca="1">INDEX('Cap based on indoor unit SZ'!$J$6:$J$21,MATCH(AF95,'Cap based on indoor unit SZ'!$I$6:$I$21))</f>
        <v>13.078888888888891</v>
      </c>
      <c r="AT95" s="179"/>
      <c r="AU95" s="179"/>
      <c r="AV95" s="179"/>
      <c r="AW95" s="169">
        <f t="shared" si="140"/>
        <v>25</v>
      </c>
      <c r="AX95" s="170">
        <v>12.5</v>
      </c>
      <c r="AY95" s="170">
        <v>12.5</v>
      </c>
      <c r="AZ95" s="179"/>
      <c r="BA95" s="179"/>
      <c r="BB95" s="179"/>
      <c r="BC95" s="172">
        <f t="shared" ca="1" si="141"/>
        <v>51.604444444444425</v>
      </c>
      <c r="BD95" s="173">
        <f t="shared" ca="1" si="142"/>
        <v>25.802222222222213</v>
      </c>
      <c r="BE95" s="173">
        <f t="shared" ca="1" si="143"/>
        <v>25.802222222222213</v>
      </c>
      <c r="BF95" s="180"/>
      <c r="BG95" s="180"/>
      <c r="BH95" s="180"/>
      <c r="BI95" s="166">
        <f t="shared" ca="1" si="144"/>
        <v>29.890051282051282</v>
      </c>
      <c r="BJ95" s="167">
        <f t="shared" ca="1" si="145"/>
        <v>14.945025641025641</v>
      </c>
      <c r="BK95" s="167">
        <f t="shared" ca="1" si="146"/>
        <v>14.945025641025641</v>
      </c>
      <c r="BL95" s="178"/>
      <c r="BM95" s="178"/>
      <c r="BN95" s="178"/>
      <c r="BO95" s="169">
        <f t="shared" ca="1" si="147"/>
        <v>29.890051282051282</v>
      </c>
      <c r="BP95" s="170">
        <f ca="1">INDEX('Cap based on indoor unit SZ'!$V$43:$V$58,MATCH(AE95,'Cap based on indoor unit SZ'!$U$43:$U$58))</f>
        <v>14.945025641025641</v>
      </c>
      <c r="BQ95" s="170">
        <f ca="1">INDEX('Cap based on indoor unit SZ'!$V$43:$V$58,MATCH(AF95,'Cap based on indoor unit SZ'!$U$43:$U$58))</f>
        <v>14.945025641025641</v>
      </c>
      <c r="BR95" s="179"/>
      <c r="BS95" s="179"/>
      <c r="BT95" s="179"/>
      <c r="BU95" s="175">
        <v>13000</v>
      </c>
      <c r="BV95" s="175">
        <v>13000</v>
      </c>
      <c r="BW95" s="179"/>
      <c r="BX95" s="179"/>
      <c r="BY95" s="179"/>
      <c r="BZ95" s="172">
        <f t="shared" ca="1" si="148"/>
        <v>55.836427350427357</v>
      </c>
      <c r="CA95" s="173">
        <f t="shared" ca="1" si="149"/>
        <v>27.918213675213678</v>
      </c>
      <c r="CB95" s="173">
        <f t="shared" ca="1" si="150"/>
        <v>27.918213675213678</v>
      </c>
      <c r="CC95" s="180"/>
      <c r="CD95" s="180"/>
      <c r="CE95" s="180"/>
      <c r="CF95" s="166">
        <f t="shared" ca="1" si="151"/>
        <v>21.24432570938022</v>
      </c>
      <c r="CG95" s="167">
        <f t="shared" ca="1" si="152"/>
        <v>10.62216285469011</v>
      </c>
      <c r="CH95" s="167">
        <f t="shared" ca="1" si="153"/>
        <v>10.62216285469011</v>
      </c>
      <c r="CI95" s="178"/>
      <c r="CJ95" s="178"/>
      <c r="CK95" s="178"/>
    </row>
    <row r="96" spans="2:89">
      <c r="B96" s="197">
        <v>30</v>
      </c>
      <c r="C96" s="197">
        <v>75.2</v>
      </c>
      <c r="D96" s="197">
        <v>62.6</v>
      </c>
      <c r="E96" s="198" t="s">
        <v>17</v>
      </c>
      <c r="F96" s="199">
        <v>3.13</v>
      </c>
      <c r="G96" s="200">
        <v>3.21</v>
      </c>
      <c r="H96" s="200">
        <v>3.23</v>
      </c>
      <c r="I96" s="200">
        <v>3.17</v>
      </c>
      <c r="J96" s="200">
        <v>3.26</v>
      </c>
      <c r="K96" s="200">
        <v>3.29</v>
      </c>
      <c r="L96" s="201">
        <v>3.33</v>
      </c>
      <c r="M96" s="201">
        <v>3.67</v>
      </c>
      <c r="N96" s="201">
        <v>4.04</v>
      </c>
      <c r="O96" s="201">
        <v>3.18</v>
      </c>
      <c r="P96" s="201">
        <v>3.3</v>
      </c>
      <c r="Q96" s="201">
        <v>2.71</v>
      </c>
      <c r="R96" s="152"/>
      <c r="S96" s="232">
        <v>4</v>
      </c>
      <c r="T96" s="152" t="s">
        <v>6</v>
      </c>
      <c r="U96" s="183"/>
      <c r="V96" s="152"/>
      <c r="W96" s="152"/>
      <c r="X96" s="152"/>
      <c r="Y96" s="152"/>
      <c r="AC96" s="164" t="s">
        <v>185</v>
      </c>
      <c r="AD96" s="164">
        <v>48</v>
      </c>
      <c r="AE96" s="165">
        <v>12</v>
      </c>
      <c r="AF96" s="165">
        <v>18</v>
      </c>
      <c r="AG96" s="165"/>
      <c r="AH96" s="164"/>
      <c r="AI96" s="164"/>
      <c r="AJ96" s="500"/>
      <c r="AK96" s="166">
        <f t="shared" ca="1" si="136"/>
        <v>32.900000000000006</v>
      </c>
      <c r="AL96" s="167">
        <f t="shared" ca="1" si="137"/>
        <v>13.078888888888891</v>
      </c>
      <c r="AM96" s="167">
        <f t="shared" ca="1" si="138"/>
        <v>19.821111111111112</v>
      </c>
      <c r="AN96" s="178"/>
      <c r="AO96" s="178"/>
      <c r="AP96" s="178"/>
      <c r="AQ96" s="169">
        <f t="shared" ca="1" si="139"/>
        <v>32.900000000000006</v>
      </c>
      <c r="AR96" s="170">
        <f ca="1">INDEX('Cap based on indoor unit SZ'!$J$6:$J$21,MATCH(AE96,'Cap based on indoor unit SZ'!$I$6:$I$21))</f>
        <v>13.078888888888891</v>
      </c>
      <c r="AS96" s="170">
        <f ca="1">INDEX('Cap based on indoor unit SZ'!$J$6:$J$21,MATCH(AF96,'Cap based on indoor unit SZ'!$I$6:$I$21))</f>
        <v>19.821111111111112</v>
      </c>
      <c r="AT96" s="179"/>
      <c r="AU96" s="179"/>
      <c r="AV96" s="179"/>
      <c r="AW96" s="169">
        <f t="shared" si="140"/>
        <v>30</v>
      </c>
      <c r="AX96" s="170">
        <v>12</v>
      </c>
      <c r="AY96" s="170">
        <v>18</v>
      </c>
      <c r="AZ96" s="179"/>
      <c r="BA96" s="179"/>
      <c r="BB96" s="179"/>
      <c r="BC96" s="172">
        <f t="shared" ca="1" si="141"/>
        <v>51.604444444444425</v>
      </c>
      <c r="BD96" s="173">
        <f t="shared" ca="1" si="142"/>
        <v>20.641777777777769</v>
      </c>
      <c r="BE96" s="173">
        <f t="shared" ca="1" si="143"/>
        <v>30.962666666666657</v>
      </c>
      <c r="BF96" s="180"/>
      <c r="BG96" s="180"/>
      <c r="BH96" s="180"/>
      <c r="BI96" s="166">
        <f t="shared" ca="1" si="144"/>
        <v>39.543846153846154</v>
      </c>
      <c r="BJ96" s="167">
        <f t="shared" ca="1" si="145"/>
        <v>14.945025641025641</v>
      </c>
      <c r="BK96" s="167">
        <f t="shared" ca="1" si="146"/>
        <v>24.598820512820513</v>
      </c>
      <c r="BL96" s="178"/>
      <c r="BM96" s="178"/>
      <c r="BN96" s="178"/>
      <c r="BO96" s="169">
        <f t="shared" ca="1" si="147"/>
        <v>39.543846153846154</v>
      </c>
      <c r="BP96" s="170">
        <f ca="1">INDEX('Cap based on indoor unit SZ'!$V$43:$V$58,MATCH(AE96,'Cap based on indoor unit SZ'!$U$43:$U$58))</f>
        <v>14.945025641025641</v>
      </c>
      <c r="BQ96" s="170">
        <f ca="1">INDEX('Cap based on indoor unit SZ'!$V$43:$V$58,MATCH(AF96,'Cap based on indoor unit SZ'!$U$43:$U$58))</f>
        <v>24.598820512820513</v>
      </c>
      <c r="BR96" s="179"/>
      <c r="BS96" s="179"/>
      <c r="BT96" s="179"/>
      <c r="BU96" s="175">
        <v>13000</v>
      </c>
      <c r="BV96" s="175">
        <v>19000</v>
      </c>
      <c r="BW96" s="179"/>
      <c r="BX96" s="179"/>
      <c r="BY96" s="179"/>
      <c r="BZ96" s="172">
        <f t="shared" ca="1" si="148"/>
        <v>55.836427350427357</v>
      </c>
      <c r="CA96" s="173">
        <f t="shared" ca="1" si="149"/>
        <v>22.334570940170941</v>
      </c>
      <c r="CB96" s="173">
        <f t="shared" ca="1" si="150"/>
        <v>33.501856410256416</v>
      </c>
      <c r="CC96" s="180"/>
      <c r="CD96" s="180"/>
      <c r="CE96" s="180"/>
      <c r="CF96" s="166">
        <f t="shared" ca="1" si="151"/>
        <v>26.720095329825345</v>
      </c>
      <c r="CG96" s="167">
        <f t="shared" ca="1" si="152"/>
        <v>10.62216285469011</v>
      </c>
      <c r="CH96" s="167">
        <f t="shared" ca="1" si="153"/>
        <v>16.097932475135234</v>
      </c>
      <c r="CI96" s="178"/>
      <c r="CJ96" s="178"/>
      <c r="CK96" s="178"/>
    </row>
    <row r="97" spans="2:89">
      <c r="B97" s="197">
        <v>30</v>
      </c>
      <c r="C97" s="197">
        <v>80.599999999999994</v>
      </c>
      <c r="D97" s="197">
        <v>66.2</v>
      </c>
      <c r="E97" s="198" t="s">
        <v>17</v>
      </c>
      <c r="F97" s="199">
        <v>3.13</v>
      </c>
      <c r="G97" s="200">
        <v>3.21</v>
      </c>
      <c r="H97" s="200">
        <v>3.25</v>
      </c>
      <c r="I97" s="200">
        <v>3.29</v>
      </c>
      <c r="J97" s="200">
        <v>3.31</v>
      </c>
      <c r="K97" s="200">
        <v>3.38</v>
      </c>
      <c r="L97" s="201">
        <v>3.42</v>
      </c>
      <c r="M97" s="201">
        <v>3.67</v>
      </c>
      <c r="N97" s="201">
        <v>4.05</v>
      </c>
      <c r="O97" s="201">
        <v>3.21</v>
      </c>
      <c r="P97" s="201">
        <v>3.31</v>
      </c>
      <c r="Q97" s="201">
        <v>2.76</v>
      </c>
      <c r="R97" s="152"/>
      <c r="S97" s="232">
        <v>5</v>
      </c>
      <c r="T97" s="152" t="s">
        <v>7</v>
      </c>
      <c r="U97" s="183"/>
      <c r="V97" s="152"/>
      <c r="W97" s="152"/>
      <c r="X97" s="152"/>
      <c r="Y97" s="152"/>
      <c r="AC97" s="164" t="s">
        <v>184</v>
      </c>
      <c r="AD97" s="164">
        <v>48</v>
      </c>
      <c r="AE97" s="165">
        <v>12</v>
      </c>
      <c r="AF97" s="165">
        <v>24</v>
      </c>
      <c r="AG97" s="165"/>
      <c r="AH97" s="164"/>
      <c r="AI97" s="164"/>
      <c r="AJ97" s="500"/>
      <c r="AK97" s="166">
        <f t="shared" ca="1" si="136"/>
        <v>37.531111111111109</v>
      </c>
      <c r="AL97" s="167">
        <f t="shared" ca="1" si="137"/>
        <v>13.078888888888891</v>
      </c>
      <c r="AM97" s="167">
        <f t="shared" ca="1" si="138"/>
        <v>24.452222222222218</v>
      </c>
      <c r="AN97" s="178"/>
      <c r="AO97" s="178"/>
      <c r="AP97" s="178"/>
      <c r="AQ97" s="169">
        <f t="shared" ca="1" si="139"/>
        <v>37.531111111111109</v>
      </c>
      <c r="AR97" s="170">
        <f ca="1">INDEX('Cap based on indoor unit SZ'!$J$6:$J$21,MATCH(AE97,'Cap based on indoor unit SZ'!$I$6:$I$21))</f>
        <v>13.078888888888891</v>
      </c>
      <c r="AS97" s="170">
        <f ca="1">INDEX('Cap based on indoor unit SZ'!$J$6:$J$21,MATCH(AF97,'Cap based on indoor unit SZ'!$I$6:$I$21))</f>
        <v>24.452222222222218</v>
      </c>
      <c r="AT97" s="179"/>
      <c r="AU97" s="179"/>
      <c r="AV97" s="179"/>
      <c r="AW97" s="169">
        <f t="shared" si="140"/>
        <v>36</v>
      </c>
      <c r="AX97" s="170">
        <v>12</v>
      </c>
      <c r="AY97" s="170">
        <v>24</v>
      </c>
      <c r="AZ97" s="179"/>
      <c r="BA97" s="179"/>
      <c r="BB97" s="179"/>
      <c r="BC97" s="172">
        <f t="shared" ca="1" si="141"/>
        <v>51.604444444444418</v>
      </c>
      <c r="BD97" s="173">
        <f t="shared" ca="1" si="142"/>
        <v>17.201481481481473</v>
      </c>
      <c r="BE97" s="173">
        <f t="shared" ca="1" si="143"/>
        <v>34.402962962962945</v>
      </c>
      <c r="BF97" s="180"/>
      <c r="BG97" s="180"/>
      <c r="BH97" s="180"/>
      <c r="BI97" s="166">
        <f t="shared" ca="1" si="144"/>
        <v>45.235025641025643</v>
      </c>
      <c r="BJ97" s="167">
        <f t="shared" ca="1" si="145"/>
        <v>14.945025641025641</v>
      </c>
      <c r="BK97" s="167">
        <f t="shared" ca="1" si="146"/>
        <v>30.290000000000003</v>
      </c>
      <c r="BL97" s="178"/>
      <c r="BM97" s="178"/>
      <c r="BN97" s="178"/>
      <c r="BO97" s="169">
        <f t="shared" ca="1" si="147"/>
        <v>45.235025641025643</v>
      </c>
      <c r="BP97" s="170">
        <f ca="1">INDEX('Cap based on indoor unit SZ'!$V$43:$V$58,MATCH(AE97,'Cap based on indoor unit SZ'!$U$43:$U$58))</f>
        <v>14.945025641025641</v>
      </c>
      <c r="BQ97" s="170">
        <f ca="1">INDEX('Cap based on indoor unit SZ'!$V$43:$V$58,MATCH(AF97,'Cap based on indoor unit SZ'!$U$43:$U$58))</f>
        <v>30.290000000000003</v>
      </c>
      <c r="BR97" s="179"/>
      <c r="BS97" s="179"/>
      <c r="BT97" s="179"/>
      <c r="BU97" s="175">
        <v>12500</v>
      </c>
      <c r="BV97" s="175">
        <v>25000</v>
      </c>
      <c r="BW97" s="179"/>
      <c r="BX97" s="179"/>
      <c r="BY97" s="179"/>
      <c r="BZ97" s="172">
        <f t="shared" ca="1" si="148"/>
        <v>55.83642735042735</v>
      </c>
      <c r="CA97" s="173">
        <f t="shared" ca="1" si="149"/>
        <v>18.61214245014245</v>
      </c>
      <c r="CB97" s="173">
        <f t="shared" ca="1" si="150"/>
        <v>37.2242849002849</v>
      </c>
      <c r="CC97" s="180"/>
      <c r="CD97" s="180"/>
      <c r="CE97" s="180"/>
      <c r="CF97" s="166">
        <f t="shared" ca="1" si="151"/>
        <v>30.481302939913554</v>
      </c>
      <c r="CG97" s="167">
        <f t="shared" ca="1" si="152"/>
        <v>10.62216285469011</v>
      </c>
      <c r="CH97" s="167">
        <f t="shared" ca="1" si="153"/>
        <v>19.859140085223444</v>
      </c>
      <c r="CI97" s="178"/>
      <c r="CJ97" s="178"/>
      <c r="CK97" s="178"/>
    </row>
    <row r="98" spans="2:89">
      <c r="B98" s="197">
        <v>30</v>
      </c>
      <c r="C98" s="197">
        <v>89.6</v>
      </c>
      <c r="D98" s="197">
        <v>73.400000000000006</v>
      </c>
      <c r="E98" s="198" t="s">
        <v>17</v>
      </c>
      <c r="F98" s="199">
        <v>3.19</v>
      </c>
      <c r="G98" s="200">
        <v>3.27</v>
      </c>
      <c r="H98" s="200">
        <v>3.31</v>
      </c>
      <c r="I98" s="200">
        <v>3.35</v>
      </c>
      <c r="J98" s="200">
        <v>3.37</v>
      </c>
      <c r="K98" s="200">
        <v>3.44</v>
      </c>
      <c r="L98" s="201">
        <v>3.48</v>
      </c>
      <c r="M98" s="201">
        <v>3.73</v>
      </c>
      <c r="N98" s="201">
        <v>4.1100000000000003</v>
      </c>
      <c r="O98" s="201">
        <v>3.27</v>
      </c>
      <c r="P98" s="201">
        <v>3.37</v>
      </c>
      <c r="Q98" s="201">
        <v>2.82</v>
      </c>
      <c r="R98" s="152"/>
      <c r="S98" s="232">
        <v>6</v>
      </c>
      <c r="T98" s="152" t="s">
        <v>2</v>
      </c>
      <c r="U98" s="183"/>
      <c r="V98" s="152"/>
      <c r="W98" s="152"/>
      <c r="X98" s="152"/>
      <c r="Y98" s="152"/>
      <c r="AC98" s="164" t="s">
        <v>183</v>
      </c>
      <c r="AD98" s="164">
        <v>48</v>
      </c>
      <c r="AE98" s="165">
        <v>18</v>
      </c>
      <c r="AF98" s="165">
        <v>18</v>
      </c>
      <c r="AG98" s="165"/>
      <c r="AH98" s="164"/>
      <c r="AI98" s="164"/>
      <c r="AJ98" s="500"/>
      <c r="AK98" s="166">
        <f t="shared" ca="1" si="136"/>
        <v>39.642222222222223</v>
      </c>
      <c r="AL98" s="167">
        <f t="shared" ca="1" si="137"/>
        <v>19.821111111111112</v>
      </c>
      <c r="AM98" s="167">
        <f t="shared" ca="1" si="138"/>
        <v>19.821111111111112</v>
      </c>
      <c r="AN98" s="178"/>
      <c r="AO98" s="178"/>
      <c r="AP98" s="178"/>
      <c r="AQ98" s="169">
        <f t="shared" ca="1" si="139"/>
        <v>39.642222222222223</v>
      </c>
      <c r="AR98" s="170">
        <f ca="1">INDEX('Cap based on indoor unit SZ'!$J$6:$J$21,MATCH(AE98,'Cap based on indoor unit SZ'!$I$6:$I$21))</f>
        <v>19.821111111111112</v>
      </c>
      <c r="AS98" s="170">
        <f ca="1">INDEX('Cap based on indoor unit SZ'!$J$6:$J$21,MATCH(AF98,'Cap based on indoor unit SZ'!$I$6:$I$21))</f>
        <v>19.821111111111112</v>
      </c>
      <c r="AT98" s="179"/>
      <c r="AU98" s="179"/>
      <c r="AV98" s="179"/>
      <c r="AW98" s="169">
        <f t="shared" si="140"/>
        <v>37</v>
      </c>
      <c r="AX98" s="170">
        <v>18.5</v>
      </c>
      <c r="AY98" s="170">
        <v>18.5</v>
      </c>
      <c r="AZ98" s="179"/>
      <c r="BA98" s="179"/>
      <c r="BB98" s="179"/>
      <c r="BC98" s="172">
        <f t="shared" ca="1" si="141"/>
        <v>51.604444444444425</v>
      </c>
      <c r="BD98" s="173">
        <f t="shared" ca="1" si="142"/>
        <v>25.802222222222213</v>
      </c>
      <c r="BE98" s="173">
        <f t="shared" ca="1" si="143"/>
        <v>25.802222222222213</v>
      </c>
      <c r="BF98" s="180"/>
      <c r="BG98" s="180"/>
      <c r="BH98" s="180"/>
      <c r="BI98" s="166">
        <f t="shared" ca="1" si="144"/>
        <v>49.197641025641026</v>
      </c>
      <c r="BJ98" s="167">
        <f t="shared" ca="1" si="145"/>
        <v>24.598820512820513</v>
      </c>
      <c r="BK98" s="167">
        <f t="shared" ca="1" si="146"/>
        <v>24.598820512820513</v>
      </c>
      <c r="BL98" s="178"/>
      <c r="BM98" s="178"/>
      <c r="BN98" s="178"/>
      <c r="BO98" s="169">
        <f t="shared" ca="1" si="147"/>
        <v>49.197641025641026</v>
      </c>
      <c r="BP98" s="170">
        <f ca="1">INDEX('Cap based on indoor unit SZ'!$V$43:$V$58,MATCH(AE98,'Cap based on indoor unit SZ'!$U$43:$U$58))</f>
        <v>24.598820512820513</v>
      </c>
      <c r="BQ98" s="170">
        <f ca="1">INDEX('Cap based on indoor unit SZ'!$V$43:$V$58,MATCH(AF98,'Cap based on indoor unit SZ'!$U$43:$U$58))</f>
        <v>24.598820512820513</v>
      </c>
      <c r="BR98" s="179"/>
      <c r="BS98" s="179"/>
      <c r="BT98" s="179"/>
      <c r="BU98" s="175">
        <v>19000</v>
      </c>
      <c r="BV98" s="175">
        <v>19000</v>
      </c>
      <c r="BW98" s="179"/>
      <c r="BX98" s="179"/>
      <c r="BY98" s="179"/>
      <c r="BZ98" s="172">
        <f t="shared" ca="1" si="148"/>
        <v>55.836427350427357</v>
      </c>
      <c r="CA98" s="173">
        <f t="shared" ca="1" si="149"/>
        <v>27.918213675213678</v>
      </c>
      <c r="CB98" s="173">
        <f t="shared" ca="1" si="150"/>
        <v>27.918213675213678</v>
      </c>
      <c r="CC98" s="180"/>
      <c r="CD98" s="180"/>
      <c r="CE98" s="180"/>
      <c r="CF98" s="166">
        <f t="shared" ca="1" si="151"/>
        <v>32.195864950270469</v>
      </c>
      <c r="CG98" s="167">
        <f t="shared" ca="1" si="152"/>
        <v>16.097932475135234</v>
      </c>
      <c r="CH98" s="167">
        <f t="shared" ca="1" si="153"/>
        <v>16.097932475135234</v>
      </c>
      <c r="CI98" s="178"/>
      <c r="CJ98" s="178"/>
      <c r="CK98" s="178"/>
    </row>
    <row r="99" spans="2:89">
      <c r="B99" s="197">
        <v>36</v>
      </c>
      <c r="C99" s="197">
        <v>69.8</v>
      </c>
      <c r="D99" s="197">
        <v>59</v>
      </c>
      <c r="E99" s="198" t="s">
        <v>17</v>
      </c>
      <c r="F99" s="199">
        <v>2.69</v>
      </c>
      <c r="G99" s="200">
        <v>2.76</v>
      </c>
      <c r="H99" s="200">
        <v>2.83</v>
      </c>
      <c r="I99" s="200">
        <v>2.87</v>
      </c>
      <c r="J99" s="200">
        <v>2.91</v>
      </c>
      <c r="K99" s="200">
        <v>2.98</v>
      </c>
      <c r="L99" s="201">
        <v>3.03</v>
      </c>
      <c r="M99" s="201">
        <v>3.39</v>
      </c>
      <c r="N99" s="201">
        <v>3.79</v>
      </c>
      <c r="O99" s="201">
        <v>3.68</v>
      </c>
      <c r="P99" s="201">
        <v>3.76</v>
      </c>
      <c r="Q99" s="201">
        <v>3.41</v>
      </c>
      <c r="R99" s="152"/>
      <c r="S99" s="232">
        <v>7</v>
      </c>
      <c r="T99" s="152" t="s">
        <v>3</v>
      </c>
      <c r="U99" s="183"/>
      <c r="V99" s="152"/>
      <c r="W99" s="152"/>
      <c r="X99" s="152"/>
      <c r="Y99" s="152"/>
      <c r="AC99" s="164" t="s">
        <v>182</v>
      </c>
      <c r="AD99" s="164">
        <v>48</v>
      </c>
      <c r="AE99" s="165">
        <v>18</v>
      </c>
      <c r="AF99" s="165">
        <v>24</v>
      </c>
      <c r="AG99" s="165"/>
      <c r="AH99" s="164"/>
      <c r="AI99" s="164"/>
      <c r="AJ99" s="512"/>
      <c r="AK99" s="166">
        <f t="shared" ca="1" si="136"/>
        <v>44.273333333333326</v>
      </c>
      <c r="AL99" s="167">
        <f t="shared" ca="1" si="137"/>
        <v>19.821111111111112</v>
      </c>
      <c r="AM99" s="167">
        <f t="shared" ca="1" si="138"/>
        <v>24.452222222222218</v>
      </c>
      <c r="AN99" s="178"/>
      <c r="AO99" s="178"/>
      <c r="AP99" s="178"/>
      <c r="AQ99" s="169">
        <f t="shared" ca="1" si="139"/>
        <v>44.273333333333326</v>
      </c>
      <c r="AR99" s="170">
        <f ca="1">INDEX('Cap based on indoor unit SZ'!$J$6:$J$21,MATCH(AE99,'Cap based on indoor unit SZ'!$I$6:$I$21))</f>
        <v>19.821111111111112</v>
      </c>
      <c r="AS99" s="170">
        <f ca="1">INDEX('Cap based on indoor unit SZ'!$J$6:$J$21,MATCH(AF99,'Cap based on indoor unit SZ'!$I$6:$I$21))</f>
        <v>24.452222222222218</v>
      </c>
      <c r="AT99" s="179"/>
      <c r="AU99" s="179"/>
      <c r="AV99" s="179"/>
      <c r="AW99" s="169">
        <f t="shared" si="140"/>
        <v>40</v>
      </c>
      <c r="AX99" s="170">
        <v>17.5</v>
      </c>
      <c r="AY99" s="170">
        <v>22.5</v>
      </c>
      <c r="AZ99" s="179"/>
      <c r="BA99" s="179"/>
      <c r="BB99" s="179"/>
      <c r="BC99" s="172">
        <f t="shared" ca="1" si="141"/>
        <v>51.604444444444432</v>
      </c>
      <c r="BD99" s="173">
        <f t="shared" ca="1" si="142"/>
        <v>22.116190476190472</v>
      </c>
      <c r="BE99" s="173">
        <f t="shared" ca="1" si="143"/>
        <v>29.488253968253961</v>
      </c>
      <c r="BF99" s="180"/>
      <c r="BG99" s="180"/>
      <c r="BH99" s="180"/>
      <c r="BI99" s="166">
        <f t="shared" ca="1" si="144"/>
        <v>54.219897435897444</v>
      </c>
      <c r="BJ99" s="167">
        <f t="shared" ca="1" si="145"/>
        <v>23.929897435897441</v>
      </c>
      <c r="BK99" s="167">
        <f t="shared" ca="1" si="146"/>
        <v>30.290000000000003</v>
      </c>
      <c r="BL99" s="178"/>
      <c r="BM99" s="178"/>
      <c r="BN99" s="178"/>
      <c r="BO99" s="169">
        <f t="shared" ca="1" si="147"/>
        <v>54.888820512820516</v>
      </c>
      <c r="BP99" s="170">
        <f ca="1">INDEX('Cap based on indoor unit SZ'!$V$43:$V$58,MATCH(AE99,'Cap based on indoor unit SZ'!$U$43:$U$58))</f>
        <v>24.598820512820513</v>
      </c>
      <c r="BQ99" s="170">
        <f ca="1">INDEX('Cap based on indoor unit SZ'!$V$43:$V$58,MATCH(AF99,'Cap based on indoor unit SZ'!$U$43:$U$58))</f>
        <v>30.290000000000003</v>
      </c>
      <c r="BR99" s="179"/>
      <c r="BS99" s="179"/>
      <c r="BT99" s="179"/>
      <c r="BU99" s="175">
        <v>18000</v>
      </c>
      <c r="BV99" s="175">
        <v>23000</v>
      </c>
      <c r="BW99" s="179"/>
      <c r="BX99" s="179"/>
      <c r="BY99" s="179"/>
      <c r="BZ99" s="172">
        <f t="shared" ca="1" si="148"/>
        <v>55.836427350427357</v>
      </c>
      <c r="CA99" s="173">
        <f t="shared" ca="1" si="149"/>
        <v>23.929897435897441</v>
      </c>
      <c r="CB99" s="173">
        <f t="shared" ca="1" si="150"/>
        <v>31.906529914529919</v>
      </c>
      <c r="CC99" s="180"/>
      <c r="CD99" s="180"/>
      <c r="CE99" s="180"/>
      <c r="CF99" s="166">
        <f t="shared" ca="1" si="151"/>
        <v>35.957072560358682</v>
      </c>
      <c r="CG99" s="167">
        <f t="shared" ca="1" si="152"/>
        <v>16.097932475135234</v>
      </c>
      <c r="CH99" s="167">
        <f t="shared" ca="1" si="153"/>
        <v>19.859140085223444</v>
      </c>
      <c r="CI99" s="178"/>
      <c r="CJ99" s="178"/>
      <c r="CK99" s="178"/>
    </row>
    <row r="100" spans="2:89">
      <c r="B100" s="197">
        <v>36</v>
      </c>
      <c r="C100" s="197">
        <v>75.2</v>
      </c>
      <c r="D100" s="197">
        <v>62.6</v>
      </c>
      <c r="E100" s="198" t="s">
        <v>17</v>
      </c>
      <c r="F100" s="199">
        <v>2.74</v>
      </c>
      <c r="G100" s="200">
        <v>2.81</v>
      </c>
      <c r="H100" s="200">
        <v>2.88</v>
      </c>
      <c r="I100" s="200">
        <v>2.92</v>
      </c>
      <c r="J100" s="200">
        <v>2.96</v>
      </c>
      <c r="K100" s="200">
        <v>3.03</v>
      </c>
      <c r="L100" s="201">
        <v>3.08</v>
      </c>
      <c r="M100" s="201">
        <v>3.44</v>
      </c>
      <c r="N100" s="201">
        <v>3.84</v>
      </c>
      <c r="O100" s="201">
        <v>3.73</v>
      </c>
      <c r="P100" s="201">
        <v>3.81</v>
      </c>
      <c r="Q100" s="201">
        <v>3.46</v>
      </c>
      <c r="R100" s="152"/>
      <c r="S100" s="232">
        <v>8</v>
      </c>
      <c r="T100" s="152" t="s">
        <v>4</v>
      </c>
      <c r="U100" s="183"/>
      <c r="V100" s="152"/>
      <c r="W100" s="152"/>
      <c r="X100" s="152"/>
      <c r="Y100" s="152"/>
      <c r="AC100" s="164" t="s">
        <v>181</v>
      </c>
      <c r="AD100" s="164">
        <v>48</v>
      </c>
      <c r="AE100" s="165">
        <v>24</v>
      </c>
      <c r="AF100" s="165">
        <v>24</v>
      </c>
      <c r="AG100" s="165"/>
      <c r="AH100" s="164"/>
      <c r="AI100" s="164"/>
      <c r="AJ100" s="512"/>
      <c r="AK100" s="166">
        <f t="shared" ca="1" si="136"/>
        <v>48.904444444444437</v>
      </c>
      <c r="AL100" s="167">
        <f t="shared" ca="1" si="137"/>
        <v>24.452222222222218</v>
      </c>
      <c r="AM100" s="167">
        <f t="shared" ca="1" si="138"/>
        <v>24.452222222222218</v>
      </c>
      <c r="AN100" s="178"/>
      <c r="AO100" s="178"/>
      <c r="AP100" s="178"/>
      <c r="AQ100" s="169">
        <f t="shared" ca="1" si="139"/>
        <v>48.904444444444437</v>
      </c>
      <c r="AR100" s="170">
        <f ca="1">INDEX('Cap based on indoor unit SZ'!$J$6:$J$21,MATCH(AE100,'Cap based on indoor unit SZ'!$I$6:$I$21))</f>
        <v>24.452222222222218</v>
      </c>
      <c r="AS100" s="170">
        <f ca="1">INDEX('Cap based on indoor unit SZ'!$J$6:$J$21,MATCH(AF100,'Cap based on indoor unit SZ'!$I$6:$I$21))</f>
        <v>24.452222222222218</v>
      </c>
      <c r="AT100" s="179"/>
      <c r="AU100" s="179"/>
      <c r="AV100" s="179"/>
      <c r="AW100" s="169">
        <f t="shared" si="140"/>
        <v>42</v>
      </c>
      <c r="AX100" s="170">
        <v>21</v>
      </c>
      <c r="AY100" s="170">
        <v>21</v>
      </c>
      <c r="AZ100" s="179"/>
      <c r="BA100" s="179"/>
      <c r="BB100" s="179"/>
      <c r="BC100" s="172">
        <f t="shared" ca="1" si="141"/>
        <v>51.604444444444425</v>
      </c>
      <c r="BD100" s="173">
        <f t="shared" ca="1" si="142"/>
        <v>25.802222222222213</v>
      </c>
      <c r="BE100" s="173">
        <f t="shared" ca="1" si="143"/>
        <v>25.802222222222213</v>
      </c>
      <c r="BF100" s="180"/>
      <c r="BG100" s="180"/>
      <c r="BH100" s="180"/>
      <c r="BI100" s="166">
        <f t="shared" ca="1" si="144"/>
        <v>55.836427350427357</v>
      </c>
      <c r="BJ100" s="167">
        <f t="shared" ca="1" si="145"/>
        <v>27.918213675213678</v>
      </c>
      <c r="BK100" s="167">
        <f t="shared" ca="1" si="146"/>
        <v>27.918213675213678</v>
      </c>
      <c r="BL100" s="178"/>
      <c r="BM100" s="178"/>
      <c r="BN100" s="178"/>
      <c r="BO100" s="169">
        <f t="shared" ca="1" si="147"/>
        <v>60.580000000000005</v>
      </c>
      <c r="BP100" s="170">
        <f ca="1">INDEX('Cap based on indoor unit SZ'!$V$43:$V$58,MATCH(AE100,'Cap based on indoor unit SZ'!$U$43:$U$58))</f>
        <v>30.290000000000003</v>
      </c>
      <c r="BQ100" s="170">
        <f ca="1">INDEX('Cap based on indoor unit SZ'!$V$43:$V$58,MATCH(AF100,'Cap based on indoor unit SZ'!$U$43:$U$58))</f>
        <v>30.290000000000003</v>
      </c>
      <c r="BR100" s="179"/>
      <c r="BS100" s="179"/>
      <c r="BT100" s="179"/>
      <c r="BU100" s="175">
        <v>22000</v>
      </c>
      <c r="BV100" s="175">
        <v>22000</v>
      </c>
      <c r="BW100" s="179"/>
      <c r="BX100" s="179"/>
      <c r="BY100" s="179"/>
      <c r="BZ100" s="172">
        <f t="shared" ca="1" si="148"/>
        <v>55.836427350427357</v>
      </c>
      <c r="CA100" s="173">
        <f t="shared" ca="1" si="149"/>
        <v>27.918213675213678</v>
      </c>
      <c r="CB100" s="173">
        <f t="shared" ca="1" si="150"/>
        <v>27.918213675213678</v>
      </c>
      <c r="CC100" s="180"/>
      <c r="CD100" s="180"/>
      <c r="CE100" s="180"/>
      <c r="CF100" s="166">
        <f t="shared" ca="1" si="151"/>
        <v>39.718280170446889</v>
      </c>
      <c r="CG100" s="167">
        <f t="shared" ca="1" si="152"/>
        <v>19.859140085223444</v>
      </c>
      <c r="CH100" s="167">
        <f t="shared" ca="1" si="153"/>
        <v>19.859140085223444</v>
      </c>
      <c r="CI100" s="178"/>
      <c r="CJ100" s="178"/>
      <c r="CK100" s="178"/>
    </row>
    <row r="101" spans="2:89">
      <c r="B101" s="197">
        <v>36</v>
      </c>
      <c r="C101" s="197">
        <v>80.599999999999994</v>
      </c>
      <c r="D101" s="197">
        <v>66.2</v>
      </c>
      <c r="E101" s="198" t="s">
        <v>17</v>
      </c>
      <c r="F101" s="199">
        <v>2.79</v>
      </c>
      <c r="G101" s="200">
        <v>2.86</v>
      </c>
      <c r="H101" s="200">
        <v>2.89</v>
      </c>
      <c r="I101" s="200">
        <v>2.91</v>
      </c>
      <c r="J101" s="200">
        <v>2.95</v>
      </c>
      <c r="K101" s="200">
        <v>3.06</v>
      </c>
      <c r="L101" s="201">
        <v>3.1</v>
      </c>
      <c r="M101" s="201">
        <v>3.48</v>
      </c>
      <c r="N101" s="201">
        <v>3.91</v>
      </c>
      <c r="O101" s="201">
        <v>3.8</v>
      </c>
      <c r="P101" s="201">
        <v>3.85</v>
      </c>
      <c r="Q101" s="201">
        <v>3.47</v>
      </c>
      <c r="R101" s="152"/>
      <c r="S101" s="181"/>
      <c r="T101" s="152"/>
      <c r="U101" s="183"/>
      <c r="V101" s="152"/>
      <c r="W101" s="152"/>
      <c r="X101" s="152"/>
      <c r="Y101" s="152"/>
      <c r="AC101" s="164" t="s">
        <v>180</v>
      </c>
      <c r="AD101" s="164">
        <v>48</v>
      </c>
      <c r="AE101" s="165">
        <v>9</v>
      </c>
      <c r="AF101" s="165">
        <v>9</v>
      </c>
      <c r="AG101" s="165">
        <v>9</v>
      </c>
      <c r="AH101" s="164"/>
      <c r="AI101" s="164"/>
      <c r="AJ101" s="500">
        <v>3</v>
      </c>
      <c r="AK101" s="166">
        <f t="shared" ca="1" si="136"/>
        <v>31.389333333333333</v>
      </c>
      <c r="AL101" s="167">
        <f t="shared" ref="AL101:AL118" ca="1" si="154">IF((INDEX($AA$4:$AA$7,MATCH(INDOOR_1,$Z$4:$Z$7))*(INDEX($X$27:$X$46,MATCH($AD101,$W$27:$W$46,1))/(INDEX($AA$4:$AA$7,MATCH(INDOOR_1,$Z$4:$Z$7))+INDEX($AA$4:$AA$7,MATCH(INDOOR_2,$Z$4:$Z$7))+INDEX($AA$4:$AA$7,MATCH(INDOOR_3,$Z$4:$Z$7)))))
&gt;AR101,AR101,
(INDEX($AA$4:$AA$7,MATCH(INDOOR_1,$Z$4:$Z$7))*(INDEX($X$27:$X$46,MATCH($AD101,$W$27:$W$46,1))/(INDEX($AA$4:$AA$7,MATCH(INDOOR_1,$Z$4:$Z$7))+INDEX($AA$4:$AA$7,MATCH(INDOOR_2,$Z$4:$Z$7))+INDEX($AA$4:$AA$7,MATCH(INDOOR_3,$Z$4:$Z$7))))))</f>
        <v>10.463111111111111</v>
      </c>
      <c r="AM101" s="167">
        <f t="shared" ref="AM101:AM118" ca="1" si="155">IF((INDEX($AA$4:$AA$7,MATCH(INDOOR_2,$Z$4:$Z$7))*(INDEX($X$27:$X$46,MATCH($AD101,$W$27:$W$46,1))/(INDEX($AA$4:$AA$7,MATCH(INDOOR_1,$Z$4:$Z$7))+INDEX($AA$4:$AA$7,MATCH(INDOOR_2,$Z$4:$Z$7))+INDEX($AA$4:$AA$7,MATCH(INDOOR_3,$Z$4:$Z$7)))))
&gt;AS101,AS101,
(INDEX($AA$4:$AA$7,MATCH(INDOOR_2,$Z$4:$Z$7))*(INDEX($X$27:$X$46,MATCH($AD101,$W$27:$W$46,1))/(INDEX($AA$4:$AA$7,MATCH(INDOOR_1,$Z$4:$Z$7))+INDEX($AA$4:$AA$7,MATCH(INDOOR_2,$Z$4:$Z$7))+INDEX($AA$4:$AA$7,MATCH(INDOOR_3,$Z$4:$Z$7))))))</f>
        <v>10.463111111111111</v>
      </c>
      <c r="AN101" s="167">
        <f t="shared" ref="AN101:AN118" ca="1" si="156">IF((INDEX($AA$4:$AA$7,MATCH(INDOOR_3,$Z$4:$Z$7))*(INDEX($X$27:$X$46,MATCH($AD101,$W$27:$W$46,1))/(INDEX($AA$4:$AA$7,MATCH(INDOOR_1,$Z$4:$Z$7))+INDEX($AA$4:$AA$7,MATCH(INDOOR_2,$Z$4:$Z$7))+INDEX($AA$4:$AA$7,MATCH(INDOOR_3,$Z$4:$Z$7)))))
&gt;AT101,AT101,
(INDEX($AA$4:$AA$7,MATCH(INDOOR_3,$Z$4:$Z$7))*(INDEX($X$27:$X$46,MATCH($AD101,$W$27:$W$46,1))/(INDEX($AA$4:$AA$7,MATCH(INDOOR_1,$Z$4:$Z$7))+INDEX($AA$4:$AA$7,MATCH(INDOOR_2,$Z$4:$Z$7))+INDEX($AA$4:$AA$7,MATCH(INDOOR_3,$Z$4:$Z$7))))))</f>
        <v>10.463111111111111</v>
      </c>
      <c r="AO101" s="178"/>
      <c r="AP101" s="178"/>
      <c r="AQ101" s="169">
        <f t="shared" ca="1" si="139"/>
        <v>31.389333333333333</v>
      </c>
      <c r="AR101" s="170">
        <f ca="1">INDEX('Cap based on indoor unit SZ'!$J$6:$J$21,MATCH(AE101,'Cap based on indoor unit SZ'!$I$6:$I$21))</f>
        <v>10.463111111111111</v>
      </c>
      <c r="AS101" s="170">
        <f ca="1">INDEX('Cap based on indoor unit SZ'!$J$6:$J$21,MATCH(AF101,'Cap based on indoor unit SZ'!$I$6:$I$21))</f>
        <v>10.463111111111111</v>
      </c>
      <c r="AT101" s="170">
        <f ca="1">INDEX('Cap based on indoor unit SZ'!$J$6:$J$21,MATCH(AG101,'Cap based on indoor unit SZ'!$I$6:$I$21))</f>
        <v>10.463111111111111</v>
      </c>
      <c r="AU101" s="179"/>
      <c r="AV101" s="179"/>
      <c r="AW101" s="169">
        <f t="shared" si="140"/>
        <v>28.5</v>
      </c>
      <c r="AX101" s="170">
        <v>9.5</v>
      </c>
      <c r="AY101" s="170">
        <v>9.5</v>
      </c>
      <c r="AZ101" s="170">
        <v>9.5</v>
      </c>
      <c r="BA101" s="179"/>
      <c r="BB101" s="179"/>
      <c r="BC101" s="172">
        <f t="shared" ca="1" si="141"/>
        <v>51.604444444444425</v>
      </c>
      <c r="BD101" s="173">
        <f t="shared" ref="BD101:BD118" ca="1" si="157">(INDEX($AA$4:$AA$7,MATCH(AE101,$Z$4:$Z$7))*(INDEX($X$27:$X$46,MATCH($AD101,$W$27:$W$46,1))/(INDEX($AA$4:$AA$7,MATCH($AE101,$Z$4:$Z$7))+INDEX($AA$4:$AA$7,MATCH($AF101,$Z$4:$Z$7))+INDEX($AA$4:$AA$7,MATCH($AG101,$Z$4:$Z$7)))))</f>
        <v>17.201481481481476</v>
      </c>
      <c r="BE101" s="173">
        <f t="shared" ref="BE101:BE118" ca="1" si="158">(INDEX($AA$4:$AA$7,MATCH(AF101,$Z$4:$Z$7))*(INDEX($X$27:$X$46,MATCH($AD101,$W$27:$W$46,1))/(INDEX($AA$4:$AA$7,MATCH($AE101,$Z$4:$Z$7))+INDEX($AA$4:$AA$7,MATCH($AF101,$Z$4:$Z$7))+INDEX($AA$4:$AA$7,MATCH($AG101,$Z$4:$Z$7)))))</f>
        <v>17.201481481481476</v>
      </c>
      <c r="BF101" s="173">
        <f t="shared" ref="BF101:BF118" ca="1" si="159">(INDEX($AA$4:$AA$7,MATCH(AG101,$Z$4:$Z$7))*(INDEX($X$27:$X$46,MATCH($AD101,$W$27:$W$46,1))/(INDEX($AA$4:$AA$7,MATCH($AE101,$Z$4:$Z$7))+INDEX($AA$4:$AA$7,MATCH($AF101,$Z$4:$Z$7))+INDEX($AA$4:$AA$7,MATCH($AG101,$Z$4:$Z$7)))))</f>
        <v>17.201481481481476</v>
      </c>
      <c r="BG101" s="180"/>
      <c r="BH101" s="180"/>
      <c r="BI101" s="166">
        <f t="shared" ca="1" si="144"/>
        <v>35.868061538461532</v>
      </c>
      <c r="BJ101" s="167">
        <f t="shared" ref="BJ101:BJ118" ca="1" si="160">IF((INDEX($AA$4:$AA$7,MATCH(INDOOR_1,$Z$4:$Z$7))*(INDEX($X$118:$X$137,MATCH($AD101,$W$118:$W$137,1))/(INDEX($AA$4:$AA$7,MATCH(INDOOR_1,$Z$4:$Z$7))+INDEX($AA$4:$AA$7,MATCH(INDOOR_2,$Z$4:$Z$7))+INDEX($AA$4:$AA$7,MATCH(INDOOR_3,$Z$4:$Z$7)))))
&gt;BP101,BP101,
(INDEX($AA$4:$AA$7,MATCH(INDOOR_1,$Z$4:$Z$7))*(INDEX($X$118:$X$137,MATCH($AD101,$W$118:$W$137,1))/(INDEX($AA$4:$AA$7,MATCH(INDOOR_1,$Z$4:$Z$7))+INDEX($AA$4:$AA$7,MATCH(INDOOR_2,$Z$4:$Z$7))+INDEX($AA$4:$AA$7,MATCH(INDOOR_3,$Z$4:$Z$7))))))</f>
        <v>11.956020512820512</v>
      </c>
      <c r="BK101" s="167">
        <f t="shared" ref="BK101:BK118" ca="1" si="161">IF((INDEX($AA$4:$AA$7,MATCH(INDOOR_2,$Z$4:$Z$7))*(INDEX($X$118:$X$137,MATCH($AD101,$W$118:$W$137,1))/(INDEX($AA$4:$AA$7,MATCH(INDOOR_1,$Z$4:$Z$7))+INDEX($AA$4:$AA$7,MATCH(INDOOR_2,$Z$4:$Z$7))+INDEX($AA$4:$AA$7,MATCH(INDOOR_3,$Z$4:$Z$7)))))
&gt;BQ101,BQ101,
(INDEX($AA$4:$AA$7,MATCH(INDOOR_2,$Z$4:$Z$7))*(INDEX($X$118:$X$137,MATCH($AD101,$W$118:$W$137,1))/(INDEX($AA$4:$AA$7,MATCH(INDOOR_1,$Z$4:$Z$7))+INDEX($AA$4:$AA$7,MATCH(INDOOR_2,$Z$4:$Z$7))+INDEX($AA$4:$AA$7,MATCH(INDOOR_3,$Z$4:$Z$7))))))</f>
        <v>11.956020512820512</v>
      </c>
      <c r="BL101" s="167">
        <f t="shared" ref="BL101:BL118" ca="1" si="162">IF((INDEX($AA$4:$AA$7,MATCH(INDOOR_3,$Z$4:$Z$7))*(INDEX($X$118:$X$137,MATCH($AD101,$W$118:$W$137,1))/(INDEX($AA$4:$AA$7,MATCH(INDOOR_1,$Z$4:$Z$7))+INDEX($AA$4:$AA$7,MATCH(INDOOR_2,$Z$4:$Z$7))+INDEX($AA$4:$AA$7,MATCH(INDOOR_3,$Z$4:$Z$7)))))
&gt;BR101,BR101,
(INDEX($AA$4:$AA$7,MATCH(INDOOR_3,$Z$4:$Z$7))*(INDEX($X$118:$X$137,MATCH($AD101,$W$118:$W$137,1))/(INDEX($AA$4:$AA$7,MATCH(INDOOR_1,$Z$4:$Z$7))+INDEX($AA$4:$AA$7,MATCH(INDOOR_2,$Z$4:$Z$7))+INDEX($AA$4:$AA$7,MATCH(INDOOR_3,$Z$4:$Z$7))))))</f>
        <v>11.956020512820512</v>
      </c>
      <c r="BM101" s="178"/>
      <c r="BN101" s="178"/>
      <c r="BO101" s="169">
        <f t="shared" ca="1" si="147"/>
        <v>35.868061538461532</v>
      </c>
      <c r="BP101" s="170">
        <f ca="1">INDEX('Cap based on indoor unit SZ'!$V$43:$V$58,MATCH(AE101,'Cap based on indoor unit SZ'!$U$43:$U$58))</f>
        <v>11.956020512820512</v>
      </c>
      <c r="BQ101" s="170">
        <f ca="1">INDEX('Cap based on indoor unit SZ'!$V$43:$V$58,MATCH(AF101,'Cap based on indoor unit SZ'!$U$43:$U$58))</f>
        <v>11.956020512820512</v>
      </c>
      <c r="BR101" s="170">
        <f ca="1">INDEX('Cap based on indoor unit SZ'!$V$43:$V$58,MATCH(AG101,'Cap based on indoor unit SZ'!$U$43:$U$58))</f>
        <v>11.956020512820512</v>
      </c>
      <c r="BS101" s="179"/>
      <c r="BT101" s="179"/>
      <c r="BU101" s="175">
        <v>11000</v>
      </c>
      <c r="BV101" s="175">
        <v>11000</v>
      </c>
      <c r="BW101" s="175">
        <v>11000</v>
      </c>
      <c r="BX101" s="179"/>
      <c r="BY101" s="179"/>
      <c r="BZ101" s="172">
        <f t="shared" ca="1" si="148"/>
        <v>55.836427350427357</v>
      </c>
      <c r="CA101" s="173">
        <f t="shared" ref="CA101:CA118" ca="1" si="163">(INDEX($AA$4:$AA$7,MATCH(INDOOR_1,$Z$4:$Z$7))*(INDEX($X$118:$X$137,MATCH($AD101,$W$118:$W$137,1))/(INDEX($AA$4:$AA$7,MATCH(INDOOR_1,$Z$4:$Z$7))+INDEX($AA$4:$AA$7,MATCH(INDOOR_2,$Z$4:$Z$7))+INDEX($AA$4:$AA$7,MATCH(INDOOR_3,$Z$4:$Z$7)))))</f>
        <v>18.612142450142453</v>
      </c>
      <c r="CB101" s="173">
        <f t="shared" ref="CB101:CB118" ca="1" si="164">(INDEX($AA$4:$AA$7,MATCH(INDOOR_2,$Z$4:$Z$7))*(INDEX($X$118:$X$137,MATCH($AD101,$W$118:$W$137,1))/(INDEX($AA$4:$AA$7,MATCH(INDOOR_1,$Z$4:$Z$7))+INDEX($AA$4:$AA$7,MATCH(INDOOR_2,$Z$4:$Z$7))+INDEX($AA$4:$AA$7,MATCH(INDOOR_3,$Z$4:$Z$7)))))</f>
        <v>18.612142450142453</v>
      </c>
      <c r="CC101" s="173">
        <f t="shared" ref="CC101:CC118" ca="1" si="165">(INDEX($AA$4:$AA$7,MATCH(INDOOR_3,$Z$4:$Z$7))*(INDEX($X$118:$X$137,MATCH($AD101,$W$118:$W$137,1))/(INDEX($AA$4:$AA$7,MATCH(INDOOR_1,$Z$4:$Z$7))+INDEX($AA$4:$AA$7,MATCH(INDOOR_2,$Z$4:$Z$7))+INDEX($AA$4:$AA$7,MATCH(INDOOR_3,$Z$4:$Z$7)))))</f>
        <v>18.612142450142453</v>
      </c>
      <c r="CD101" s="180"/>
      <c r="CE101" s="180"/>
      <c r="CF101" s="166">
        <f t="shared" ca="1" si="151"/>
        <v>25.493190851256259</v>
      </c>
      <c r="CG101" s="167">
        <f t="shared" ca="1" si="152"/>
        <v>8.4977302837520856</v>
      </c>
      <c r="CH101" s="167">
        <f t="shared" ca="1" si="153"/>
        <v>8.4977302837520856</v>
      </c>
      <c r="CI101" s="167">
        <f t="shared" ref="CI101:CI148" ca="1" si="166">AN101*(INDEX($X$67:$X$86,MATCH($AD101,$W$67:$W$86,1)))</f>
        <v>8.4977302837520856</v>
      </c>
      <c r="CJ101" s="178"/>
      <c r="CK101" s="178"/>
    </row>
    <row r="102" spans="2:89">
      <c r="B102" s="197">
        <v>36</v>
      </c>
      <c r="C102" s="197">
        <v>89.6</v>
      </c>
      <c r="D102" s="197">
        <v>73.400000000000006</v>
      </c>
      <c r="E102" s="198" t="s">
        <v>17</v>
      </c>
      <c r="F102" s="199">
        <v>2.85</v>
      </c>
      <c r="G102" s="200">
        <v>2.92</v>
      </c>
      <c r="H102" s="200">
        <v>2.95</v>
      </c>
      <c r="I102" s="200">
        <v>2.97</v>
      </c>
      <c r="J102" s="200">
        <v>3.01</v>
      </c>
      <c r="K102" s="200">
        <v>3.12</v>
      </c>
      <c r="L102" s="201">
        <v>3.16</v>
      </c>
      <c r="M102" s="201">
        <v>3.54</v>
      </c>
      <c r="N102" s="201">
        <v>3.97</v>
      </c>
      <c r="O102" s="201">
        <v>3.86</v>
      </c>
      <c r="P102" s="201">
        <v>3.91</v>
      </c>
      <c r="Q102" s="201">
        <v>3.53</v>
      </c>
      <c r="R102" s="152"/>
      <c r="S102" s="181"/>
      <c r="T102" s="152"/>
      <c r="U102" s="183"/>
      <c r="V102" s="152"/>
      <c r="W102" s="152"/>
      <c r="X102" s="152"/>
      <c r="Y102" s="152"/>
      <c r="AC102" s="164" t="s">
        <v>179</v>
      </c>
      <c r="AD102" s="164">
        <v>48</v>
      </c>
      <c r="AE102" s="165">
        <v>9</v>
      </c>
      <c r="AF102" s="165">
        <v>9</v>
      </c>
      <c r="AG102" s="165">
        <v>12</v>
      </c>
      <c r="AH102" s="164"/>
      <c r="AI102" s="164"/>
      <c r="AJ102" s="500"/>
      <c r="AK102" s="166">
        <f t="shared" ca="1" si="136"/>
        <v>34.005111111111113</v>
      </c>
      <c r="AL102" s="167">
        <f t="shared" ca="1" si="154"/>
        <v>10.463111111111111</v>
      </c>
      <c r="AM102" s="167">
        <f t="shared" ca="1" si="155"/>
        <v>10.463111111111111</v>
      </c>
      <c r="AN102" s="167">
        <f t="shared" ca="1" si="156"/>
        <v>13.078888888888891</v>
      </c>
      <c r="AO102" s="178"/>
      <c r="AP102" s="178"/>
      <c r="AQ102" s="169">
        <f t="shared" ca="1" si="139"/>
        <v>34.005111111111113</v>
      </c>
      <c r="AR102" s="170">
        <f ca="1">INDEX('Cap based on indoor unit SZ'!$J$6:$J$21,MATCH(AE102,'Cap based on indoor unit SZ'!$I$6:$I$21))</f>
        <v>10.463111111111111</v>
      </c>
      <c r="AS102" s="170">
        <f ca="1">INDEX('Cap based on indoor unit SZ'!$J$6:$J$21,MATCH(AF102,'Cap based on indoor unit SZ'!$I$6:$I$21))</f>
        <v>10.463111111111111</v>
      </c>
      <c r="AT102" s="170">
        <f ca="1">INDEX('Cap based on indoor unit SZ'!$J$6:$J$21,MATCH(AG102,'Cap based on indoor unit SZ'!$I$6:$I$21))</f>
        <v>13.078888888888891</v>
      </c>
      <c r="AU102" s="179"/>
      <c r="AV102" s="179"/>
      <c r="AW102" s="169">
        <f t="shared" si="140"/>
        <v>31</v>
      </c>
      <c r="AX102" s="170">
        <v>9.5</v>
      </c>
      <c r="AY102" s="170">
        <v>9.5</v>
      </c>
      <c r="AZ102" s="170">
        <v>12</v>
      </c>
      <c r="BA102" s="179"/>
      <c r="BB102" s="179"/>
      <c r="BC102" s="172">
        <f t="shared" ca="1" si="141"/>
        <v>51.604444444444425</v>
      </c>
      <c r="BD102" s="173">
        <f t="shared" ca="1" si="157"/>
        <v>15.481333333333328</v>
      </c>
      <c r="BE102" s="173">
        <f t="shared" ca="1" si="158"/>
        <v>15.481333333333328</v>
      </c>
      <c r="BF102" s="173">
        <f t="shared" ca="1" si="159"/>
        <v>20.641777777777769</v>
      </c>
      <c r="BG102" s="180"/>
      <c r="BH102" s="180"/>
      <c r="BI102" s="166">
        <f t="shared" ca="1" si="144"/>
        <v>38.857066666666668</v>
      </c>
      <c r="BJ102" s="167">
        <f t="shared" ca="1" si="160"/>
        <v>11.956020512820512</v>
      </c>
      <c r="BK102" s="167">
        <f t="shared" ca="1" si="161"/>
        <v>11.956020512820512</v>
      </c>
      <c r="BL102" s="167">
        <f t="shared" ca="1" si="162"/>
        <v>14.945025641025641</v>
      </c>
      <c r="BM102" s="178"/>
      <c r="BN102" s="178"/>
      <c r="BO102" s="169">
        <f t="shared" ca="1" si="147"/>
        <v>38.857066666666668</v>
      </c>
      <c r="BP102" s="170">
        <f ca="1">INDEX('Cap based on indoor unit SZ'!$V$43:$V$58,MATCH(AE102,'Cap based on indoor unit SZ'!$U$43:$U$58))</f>
        <v>11.956020512820512</v>
      </c>
      <c r="BQ102" s="170">
        <f ca="1">INDEX('Cap based on indoor unit SZ'!$V$43:$V$58,MATCH(AF102,'Cap based on indoor unit SZ'!$U$43:$U$58))</f>
        <v>11.956020512820512</v>
      </c>
      <c r="BR102" s="170">
        <f ca="1">INDEX('Cap based on indoor unit SZ'!$V$43:$V$58,MATCH(AG102,'Cap based on indoor unit SZ'!$U$43:$U$58))</f>
        <v>14.945025641025641</v>
      </c>
      <c r="BS102" s="179"/>
      <c r="BT102" s="179"/>
      <c r="BU102" s="175">
        <v>10500</v>
      </c>
      <c r="BV102" s="175">
        <v>10500</v>
      </c>
      <c r="BW102" s="175">
        <v>13000</v>
      </c>
      <c r="BX102" s="179"/>
      <c r="BY102" s="179"/>
      <c r="BZ102" s="172">
        <f t="shared" ca="1" si="148"/>
        <v>55.836427350427357</v>
      </c>
      <c r="CA102" s="173">
        <f t="shared" ca="1" si="163"/>
        <v>16.750928205128208</v>
      </c>
      <c r="CB102" s="173">
        <f t="shared" ca="1" si="164"/>
        <v>16.750928205128208</v>
      </c>
      <c r="CC102" s="173">
        <f t="shared" ca="1" si="165"/>
        <v>22.334570940170941</v>
      </c>
      <c r="CD102" s="180"/>
      <c r="CE102" s="180"/>
      <c r="CF102" s="166">
        <f t="shared" ca="1" si="151"/>
        <v>27.617623422194281</v>
      </c>
      <c r="CG102" s="167">
        <f t="shared" ca="1" si="152"/>
        <v>8.4977302837520856</v>
      </c>
      <c r="CH102" s="167">
        <f t="shared" ca="1" si="153"/>
        <v>8.4977302837520856</v>
      </c>
      <c r="CI102" s="167">
        <f t="shared" ca="1" si="166"/>
        <v>10.62216285469011</v>
      </c>
      <c r="CJ102" s="178"/>
      <c r="CK102" s="178"/>
    </row>
    <row r="103" spans="2:89">
      <c r="B103" s="197">
        <v>48</v>
      </c>
      <c r="C103" s="197">
        <v>69.8</v>
      </c>
      <c r="D103" s="197">
        <v>59</v>
      </c>
      <c r="E103" s="198" t="s">
        <v>17</v>
      </c>
      <c r="F103" s="199">
        <v>2.19</v>
      </c>
      <c r="G103" s="200">
        <v>2.2400000000000002</v>
      </c>
      <c r="H103" s="200">
        <v>2.2799999999999998</v>
      </c>
      <c r="I103" s="200">
        <v>2.35</v>
      </c>
      <c r="J103" s="200">
        <v>2.38</v>
      </c>
      <c r="K103" s="200">
        <v>2.41</v>
      </c>
      <c r="L103" s="201">
        <v>2.46</v>
      </c>
      <c r="M103" s="201">
        <v>2.78</v>
      </c>
      <c r="N103" s="201">
        <v>3.11</v>
      </c>
      <c r="O103" s="201">
        <v>3.45</v>
      </c>
      <c r="P103" s="201">
        <v>3.64</v>
      </c>
      <c r="Q103" s="201">
        <v>3.08</v>
      </c>
      <c r="R103" s="152"/>
      <c r="S103" s="181"/>
      <c r="T103" s="152"/>
      <c r="U103" s="183"/>
      <c r="V103" s="152"/>
      <c r="W103" s="152"/>
      <c r="X103" s="152"/>
      <c r="Y103" s="152"/>
      <c r="AC103" s="164" t="s">
        <v>178</v>
      </c>
      <c r="AD103" s="164">
        <v>48</v>
      </c>
      <c r="AE103" s="165">
        <v>9</v>
      </c>
      <c r="AF103" s="165">
        <v>9</v>
      </c>
      <c r="AG103" s="165">
        <v>18</v>
      </c>
      <c r="AH103" s="164"/>
      <c r="AI103" s="164"/>
      <c r="AJ103" s="500"/>
      <c r="AK103" s="166">
        <f t="shared" ca="1" si="136"/>
        <v>40.74733333333333</v>
      </c>
      <c r="AL103" s="167">
        <f t="shared" ca="1" si="154"/>
        <v>10.463111111111111</v>
      </c>
      <c r="AM103" s="167">
        <f t="shared" ca="1" si="155"/>
        <v>10.463111111111111</v>
      </c>
      <c r="AN103" s="167">
        <f t="shared" ca="1" si="156"/>
        <v>19.821111111111112</v>
      </c>
      <c r="AO103" s="178"/>
      <c r="AP103" s="178"/>
      <c r="AQ103" s="169">
        <f t="shared" ca="1" si="139"/>
        <v>40.74733333333333</v>
      </c>
      <c r="AR103" s="170">
        <f ca="1">INDEX('Cap based on indoor unit SZ'!$J$6:$J$21,MATCH(AE103,'Cap based on indoor unit SZ'!$I$6:$I$21))</f>
        <v>10.463111111111111</v>
      </c>
      <c r="AS103" s="170">
        <f ca="1">INDEX('Cap based on indoor unit SZ'!$J$6:$J$21,MATCH(AF103,'Cap based on indoor unit SZ'!$I$6:$I$21))</f>
        <v>10.463111111111111</v>
      </c>
      <c r="AT103" s="170">
        <f ca="1">INDEX('Cap based on indoor unit SZ'!$J$6:$J$21,MATCH(AG103,'Cap based on indoor unit SZ'!$I$6:$I$21))</f>
        <v>19.821111111111112</v>
      </c>
      <c r="AU103" s="179"/>
      <c r="AV103" s="179"/>
      <c r="AW103" s="169">
        <f t="shared" si="140"/>
        <v>37</v>
      </c>
      <c r="AX103" s="170">
        <v>9.5</v>
      </c>
      <c r="AY103" s="170">
        <v>9.5</v>
      </c>
      <c r="AZ103" s="170">
        <v>18</v>
      </c>
      <c r="BA103" s="179"/>
      <c r="BB103" s="179"/>
      <c r="BC103" s="172">
        <f t="shared" ca="1" si="141"/>
        <v>51.604444444444425</v>
      </c>
      <c r="BD103" s="173">
        <f t="shared" ca="1" si="157"/>
        <v>12.901111111111106</v>
      </c>
      <c r="BE103" s="173">
        <f t="shared" ca="1" si="158"/>
        <v>12.901111111111106</v>
      </c>
      <c r="BF103" s="173">
        <f t="shared" ca="1" si="159"/>
        <v>25.802222222222213</v>
      </c>
      <c r="BG103" s="180"/>
      <c r="BH103" s="180"/>
      <c r="BI103" s="166">
        <f t="shared" ca="1" si="144"/>
        <v>48.51086153846154</v>
      </c>
      <c r="BJ103" s="167">
        <f t="shared" ca="1" si="160"/>
        <v>11.956020512820512</v>
      </c>
      <c r="BK103" s="167">
        <f t="shared" ca="1" si="161"/>
        <v>11.956020512820512</v>
      </c>
      <c r="BL103" s="167">
        <f t="shared" ca="1" si="162"/>
        <v>24.598820512820513</v>
      </c>
      <c r="BM103" s="178"/>
      <c r="BN103" s="178"/>
      <c r="BO103" s="169">
        <f t="shared" ca="1" si="147"/>
        <v>48.51086153846154</v>
      </c>
      <c r="BP103" s="170">
        <f ca="1">INDEX('Cap based on indoor unit SZ'!$V$43:$V$58,MATCH(AE103,'Cap based on indoor unit SZ'!$U$43:$U$58))</f>
        <v>11.956020512820512</v>
      </c>
      <c r="BQ103" s="170">
        <f ca="1">INDEX('Cap based on indoor unit SZ'!$V$43:$V$58,MATCH(AF103,'Cap based on indoor unit SZ'!$U$43:$U$58))</f>
        <v>11.956020512820512</v>
      </c>
      <c r="BR103" s="170">
        <f ca="1">INDEX('Cap based on indoor unit SZ'!$V$43:$V$58,MATCH(AG103,'Cap based on indoor unit SZ'!$U$43:$U$58))</f>
        <v>24.598820512820513</v>
      </c>
      <c r="BS103" s="179"/>
      <c r="BT103" s="179"/>
      <c r="BU103" s="175">
        <v>10000</v>
      </c>
      <c r="BV103" s="175">
        <v>10000</v>
      </c>
      <c r="BW103" s="175">
        <v>19000</v>
      </c>
      <c r="BX103" s="179"/>
      <c r="BY103" s="179"/>
      <c r="BZ103" s="172">
        <f t="shared" ca="1" si="148"/>
        <v>55.836427350427357</v>
      </c>
      <c r="CA103" s="173">
        <f t="shared" ca="1" si="163"/>
        <v>13.959106837606839</v>
      </c>
      <c r="CB103" s="173">
        <f t="shared" ca="1" si="164"/>
        <v>13.959106837606839</v>
      </c>
      <c r="CC103" s="173">
        <f t="shared" ca="1" si="165"/>
        <v>27.918213675213678</v>
      </c>
      <c r="CD103" s="180"/>
      <c r="CE103" s="180"/>
      <c r="CF103" s="166">
        <f t="shared" ca="1" si="151"/>
        <v>33.093393042639406</v>
      </c>
      <c r="CG103" s="167">
        <f t="shared" ca="1" si="152"/>
        <v>8.4977302837520856</v>
      </c>
      <c r="CH103" s="167">
        <f t="shared" ca="1" si="153"/>
        <v>8.4977302837520856</v>
      </c>
      <c r="CI103" s="167">
        <f t="shared" ca="1" si="166"/>
        <v>16.097932475135234</v>
      </c>
      <c r="CJ103" s="178"/>
      <c r="CK103" s="178"/>
    </row>
    <row r="104" spans="2:89">
      <c r="B104" s="197">
        <v>48</v>
      </c>
      <c r="C104" s="197">
        <v>75.2</v>
      </c>
      <c r="D104" s="197">
        <v>62.6</v>
      </c>
      <c r="E104" s="198" t="s">
        <v>17</v>
      </c>
      <c r="F104" s="199">
        <v>2.25</v>
      </c>
      <c r="G104" s="200">
        <v>2.31</v>
      </c>
      <c r="H104" s="200">
        <v>2.35</v>
      </c>
      <c r="I104" s="200">
        <v>2.42</v>
      </c>
      <c r="J104" s="200">
        <v>2.4500000000000002</v>
      </c>
      <c r="K104" s="200">
        <v>2.48</v>
      </c>
      <c r="L104" s="201">
        <v>2.5299999999999998</v>
      </c>
      <c r="M104" s="201">
        <v>2.85</v>
      </c>
      <c r="N104" s="201">
        <v>3.18</v>
      </c>
      <c r="O104" s="201">
        <v>3.52</v>
      </c>
      <c r="P104" s="201">
        <v>3.71</v>
      </c>
      <c r="Q104" s="201">
        <v>3.15</v>
      </c>
      <c r="R104" s="152"/>
      <c r="S104" s="181"/>
      <c r="T104" s="152"/>
      <c r="U104" s="183"/>
      <c r="V104" s="152"/>
      <c r="W104" s="152"/>
      <c r="X104" s="152"/>
      <c r="Y104" s="152"/>
      <c r="AC104" s="164" t="s">
        <v>177</v>
      </c>
      <c r="AD104" s="164">
        <v>48</v>
      </c>
      <c r="AE104" s="165">
        <v>9</v>
      </c>
      <c r="AF104" s="165">
        <v>9</v>
      </c>
      <c r="AG104" s="165">
        <v>24</v>
      </c>
      <c r="AH104" s="164"/>
      <c r="AI104" s="164"/>
      <c r="AJ104" s="501"/>
      <c r="AK104" s="166">
        <f t="shared" ca="1" si="136"/>
        <v>45.37844444444444</v>
      </c>
      <c r="AL104" s="167">
        <f t="shared" ca="1" si="154"/>
        <v>10.463111111111111</v>
      </c>
      <c r="AM104" s="167">
        <f t="shared" ca="1" si="155"/>
        <v>10.463111111111111</v>
      </c>
      <c r="AN104" s="167">
        <f t="shared" ca="1" si="156"/>
        <v>24.452222222222218</v>
      </c>
      <c r="AO104" s="178"/>
      <c r="AP104" s="178"/>
      <c r="AQ104" s="169">
        <f t="shared" ca="1" si="139"/>
        <v>45.37844444444444</v>
      </c>
      <c r="AR104" s="170">
        <f ca="1">INDEX('Cap based on indoor unit SZ'!$J$6:$J$21,MATCH(AE104,'Cap based on indoor unit SZ'!$I$6:$I$21))</f>
        <v>10.463111111111111</v>
      </c>
      <c r="AS104" s="170">
        <f ca="1">INDEX('Cap based on indoor unit SZ'!$J$6:$J$21,MATCH(AF104,'Cap based on indoor unit SZ'!$I$6:$I$21))</f>
        <v>10.463111111111111</v>
      </c>
      <c r="AT104" s="170">
        <f ca="1">INDEX('Cap based on indoor unit SZ'!$J$6:$J$21,MATCH(AG104,'Cap based on indoor unit SZ'!$I$6:$I$21))</f>
        <v>24.452222222222218</v>
      </c>
      <c r="AU104" s="179"/>
      <c r="AV104" s="179"/>
      <c r="AW104" s="169">
        <f t="shared" si="140"/>
        <v>40.5</v>
      </c>
      <c r="AX104" s="170">
        <v>9</v>
      </c>
      <c r="AY104" s="170">
        <v>9</v>
      </c>
      <c r="AZ104" s="170">
        <v>22.5</v>
      </c>
      <c r="BA104" s="179"/>
      <c r="BB104" s="179"/>
      <c r="BC104" s="172">
        <f t="shared" ca="1" si="141"/>
        <v>51.604444444444432</v>
      </c>
      <c r="BD104" s="173">
        <f t="shared" ca="1" si="157"/>
        <v>11.058095238095236</v>
      </c>
      <c r="BE104" s="173">
        <f t="shared" ca="1" si="158"/>
        <v>11.058095238095236</v>
      </c>
      <c r="BF104" s="173">
        <f t="shared" ca="1" si="159"/>
        <v>29.488253968253961</v>
      </c>
      <c r="BG104" s="180"/>
      <c r="BH104" s="180"/>
      <c r="BI104" s="166">
        <f t="shared" ca="1" si="144"/>
        <v>54.202041025641023</v>
      </c>
      <c r="BJ104" s="167">
        <f t="shared" ca="1" si="160"/>
        <v>11.956020512820512</v>
      </c>
      <c r="BK104" s="167">
        <f t="shared" ca="1" si="161"/>
        <v>11.956020512820512</v>
      </c>
      <c r="BL104" s="167">
        <f t="shared" ca="1" si="162"/>
        <v>30.290000000000003</v>
      </c>
      <c r="BM104" s="178"/>
      <c r="BN104" s="178"/>
      <c r="BO104" s="169">
        <f t="shared" ca="1" si="147"/>
        <v>54.202041025641023</v>
      </c>
      <c r="BP104" s="170">
        <f ca="1">INDEX('Cap based on indoor unit SZ'!$V$43:$V$58,MATCH(AE104,'Cap based on indoor unit SZ'!$U$43:$U$58))</f>
        <v>11.956020512820512</v>
      </c>
      <c r="BQ104" s="170">
        <f ca="1">INDEX('Cap based on indoor unit SZ'!$V$43:$V$58,MATCH(AF104,'Cap based on indoor unit SZ'!$U$43:$U$58))</f>
        <v>11.956020512820512</v>
      </c>
      <c r="BR104" s="170">
        <f ca="1">INDEX('Cap based on indoor unit SZ'!$V$43:$V$58,MATCH(AG104,'Cap based on indoor unit SZ'!$U$43:$U$58))</f>
        <v>30.290000000000003</v>
      </c>
      <c r="BS104" s="179"/>
      <c r="BT104" s="179"/>
      <c r="BU104" s="175">
        <v>9500</v>
      </c>
      <c r="BV104" s="175">
        <v>9500</v>
      </c>
      <c r="BW104" s="175">
        <v>23500</v>
      </c>
      <c r="BX104" s="179"/>
      <c r="BY104" s="179"/>
      <c r="BZ104" s="172">
        <f t="shared" ca="1" si="148"/>
        <v>55.836427350427357</v>
      </c>
      <c r="CA104" s="173">
        <f t="shared" ca="1" si="163"/>
        <v>11.964948717948721</v>
      </c>
      <c r="CB104" s="173">
        <f t="shared" ca="1" si="164"/>
        <v>11.964948717948721</v>
      </c>
      <c r="CC104" s="173">
        <f t="shared" ca="1" si="165"/>
        <v>31.906529914529919</v>
      </c>
      <c r="CD104" s="180"/>
      <c r="CE104" s="180"/>
      <c r="CF104" s="166">
        <f t="shared" ca="1" si="151"/>
        <v>36.854600652727612</v>
      </c>
      <c r="CG104" s="167">
        <f t="shared" ca="1" si="152"/>
        <v>8.4977302837520856</v>
      </c>
      <c r="CH104" s="167">
        <f t="shared" ca="1" si="153"/>
        <v>8.4977302837520856</v>
      </c>
      <c r="CI104" s="167">
        <f t="shared" ca="1" si="166"/>
        <v>19.859140085223444</v>
      </c>
      <c r="CJ104" s="178"/>
      <c r="CK104" s="178"/>
    </row>
    <row r="105" spans="2:89">
      <c r="B105" s="197">
        <v>48</v>
      </c>
      <c r="C105" s="197">
        <v>80.599999999999994</v>
      </c>
      <c r="D105" s="197">
        <v>66.2</v>
      </c>
      <c r="E105" s="198" t="s">
        <v>17</v>
      </c>
      <c r="F105" s="199">
        <v>2.99</v>
      </c>
      <c r="G105" s="200">
        <v>3.06</v>
      </c>
      <c r="H105" s="200">
        <v>3.15</v>
      </c>
      <c r="I105" s="200">
        <v>3.25</v>
      </c>
      <c r="J105" s="200">
        <v>3.29</v>
      </c>
      <c r="K105" s="200">
        <v>3.46</v>
      </c>
      <c r="L105" s="201">
        <v>3.94</v>
      </c>
      <c r="M105" s="201">
        <v>4.3600000000000003</v>
      </c>
      <c r="N105" s="201">
        <v>4.8</v>
      </c>
      <c r="O105" s="201">
        <v>3.79</v>
      </c>
      <c r="P105" s="201">
        <v>3.98</v>
      </c>
      <c r="Q105" s="201">
        <v>3.43</v>
      </c>
      <c r="R105" s="152"/>
      <c r="S105" s="181"/>
      <c r="T105" s="152"/>
      <c r="U105" s="183"/>
      <c r="V105" s="152"/>
      <c r="W105" s="152"/>
      <c r="X105" s="152"/>
      <c r="Y105" s="152"/>
      <c r="AC105" s="164" t="s">
        <v>176</v>
      </c>
      <c r="AD105" s="164">
        <v>48</v>
      </c>
      <c r="AE105" s="165">
        <v>9</v>
      </c>
      <c r="AF105" s="165">
        <v>12</v>
      </c>
      <c r="AG105" s="165">
        <v>12</v>
      </c>
      <c r="AH105" s="164"/>
      <c r="AI105" s="164"/>
      <c r="AJ105" s="501"/>
      <c r="AK105" s="166">
        <f t="shared" ca="1" si="136"/>
        <v>36.620888888888892</v>
      </c>
      <c r="AL105" s="167">
        <f t="shared" ca="1" si="154"/>
        <v>10.463111111111111</v>
      </c>
      <c r="AM105" s="167">
        <f t="shared" ca="1" si="155"/>
        <v>13.078888888888891</v>
      </c>
      <c r="AN105" s="167">
        <f t="shared" ca="1" si="156"/>
        <v>13.078888888888891</v>
      </c>
      <c r="AO105" s="178"/>
      <c r="AP105" s="178"/>
      <c r="AQ105" s="169">
        <f t="shared" ca="1" si="139"/>
        <v>36.620888888888892</v>
      </c>
      <c r="AR105" s="170">
        <f ca="1">INDEX('Cap based on indoor unit SZ'!$J$6:$J$21,MATCH(AE105,'Cap based on indoor unit SZ'!$I$6:$I$21))</f>
        <v>10.463111111111111</v>
      </c>
      <c r="AS105" s="170">
        <f ca="1">INDEX('Cap based on indoor unit SZ'!$J$6:$J$21,MATCH(AF105,'Cap based on indoor unit SZ'!$I$6:$I$21))</f>
        <v>13.078888888888891</v>
      </c>
      <c r="AT105" s="170">
        <f ca="1">INDEX('Cap based on indoor unit SZ'!$J$6:$J$21,MATCH(AG105,'Cap based on indoor unit SZ'!$I$6:$I$21))</f>
        <v>13.078888888888891</v>
      </c>
      <c r="AU105" s="179"/>
      <c r="AV105" s="179"/>
      <c r="AW105" s="169">
        <f t="shared" si="140"/>
        <v>34.5</v>
      </c>
      <c r="AX105" s="170">
        <v>9.5</v>
      </c>
      <c r="AY105" s="170">
        <v>12.5</v>
      </c>
      <c r="AZ105" s="170">
        <v>12.5</v>
      </c>
      <c r="BA105" s="179"/>
      <c r="BB105" s="179"/>
      <c r="BC105" s="172">
        <f t="shared" ca="1" si="141"/>
        <v>51.604444444444432</v>
      </c>
      <c r="BD105" s="173">
        <f t="shared" ca="1" si="157"/>
        <v>14.073939393939391</v>
      </c>
      <c r="BE105" s="173">
        <f t="shared" ca="1" si="158"/>
        <v>18.765252525252521</v>
      </c>
      <c r="BF105" s="173">
        <f t="shared" ca="1" si="159"/>
        <v>18.765252525252521</v>
      </c>
      <c r="BG105" s="180"/>
      <c r="BH105" s="180"/>
      <c r="BI105" s="166">
        <f t="shared" ca="1" si="144"/>
        <v>41.84607179487179</v>
      </c>
      <c r="BJ105" s="167">
        <f t="shared" ca="1" si="160"/>
        <v>11.956020512820512</v>
      </c>
      <c r="BK105" s="167">
        <f t="shared" ca="1" si="161"/>
        <v>14.945025641025641</v>
      </c>
      <c r="BL105" s="167">
        <f t="shared" ca="1" si="162"/>
        <v>14.945025641025641</v>
      </c>
      <c r="BM105" s="178"/>
      <c r="BN105" s="178"/>
      <c r="BO105" s="169">
        <f t="shared" ca="1" si="147"/>
        <v>41.84607179487179</v>
      </c>
      <c r="BP105" s="170">
        <f ca="1">INDEX('Cap based on indoor unit SZ'!$V$43:$V$58,MATCH(AE105,'Cap based on indoor unit SZ'!$U$43:$U$58))</f>
        <v>11.956020512820512</v>
      </c>
      <c r="BQ105" s="170">
        <f ca="1">INDEX('Cap based on indoor unit SZ'!$V$43:$V$58,MATCH(AF105,'Cap based on indoor unit SZ'!$U$43:$U$58))</f>
        <v>14.945025641025641</v>
      </c>
      <c r="BR105" s="170">
        <f ca="1">INDEX('Cap based on indoor unit SZ'!$V$43:$V$58,MATCH(AG105,'Cap based on indoor unit SZ'!$U$43:$U$58))</f>
        <v>14.945025641025641</v>
      </c>
      <c r="BS105" s="179"/>
      <c r="BT105" s="179"/>
      <c r="BU105" s="175">
        <v>10000</v>
      </c>
      <c r="BV105" s="175">
        <v>13000</v>
      </c>
      <c r="BW105" s="175">
        <v>13000</v>
      </c>
      <c r="BX105" s="179"/>
      <c r="BY105" s="179"/>
      <c r="BZ105" s="172">
        <f t="shared" ca="1" si="148"/>
        <v>55.836427350427371</v>
      </c>
      <c r="CA105" s="173">
        <f t="shared" ca="1" si="163"/>
        <v>15.228116550116555</v>
      </c>
      <c r="CB105" s="173">
        <f t="shared" ca="1" si="164"/>
        <v>20.304155400155405</v>
      </c>
      <c r="CC105" s="173">
        <f t="shared" ca="1" si="165"/>
        <v>20.304155400155405</v>
      </c>
      <c r="CD105" s="180"/>
      <c r="CE105" s="180"/>
      <c r="CF105" s="166">
        <f t="shared" ca="1" si="151"/>
        <v>29.742055993132304</v>
      </c>
      <c r="CG105" s="167">
        <f t="shared" ca="1" si="152"/>
        <v>8.4977302837520856</v>
      </c>
      <c r="CH105" s="167">
        <f t="shared" ca="1" si="153"/>
        <v>10.62216285469011</v>
      </c>
      <c r="CI105" s="167">
        <f t="shared" ca="1" si="166"/>
        <v>10.62216285469011</v>
      </c>
      <c r="CJ105" s="178"/>
      <c r="CK105" s="178"/>
    </row>
    <row r="106" spans="2:89">
      <c r="B106" s="197">
        <v>48</v>
      </c>
      <c r="C106" s="197">
        <v>89.6</v>
      </c>
      <c r="D106" s="197">
        <v>73.400000000000006</v>
      </c>
      <c r="E106" s="198" t="s">
        <v>17</v>
      </c>
      <c r="F106" s="199">
        <v>3.05</v>
      </c>
      <c r="G106" s="200">
        <v>3.13</v>
      </c>
      <c r="H106" s="200">
        <v>3.22</v>
      </c>
      <c r="I106" s="200">
        <v>3.32</v>
      </c>
      <c r="J106" s="200">
        <v>3.36</v>
      </c>
      <c r="K106" s="200">
        <v>3.53</v>
      </c>
      <c r="L106" s="201">
        <v>4.01</v>
      </c>
      <c r="M106" s="201">
        <v>4.43</v>
      </c>
      <c r="N106" s="201">
        <v>4.87</v>
      </c>
      <c r="O106" s="201">
        <v>3.86</v>
      </c>
      <c r="P106" s="201">
        <v>4.05</v>
      </c>
      <c r="Q106" s="201">
        <v>3.5</v>
      </c>
      <c r="R106" s="152"/>
      <c r="S106" s="181"/>
      <c r="T106" s="152"/>
      <c r="U106" s="183"/>
      <c r="V106" s="152"/>
      <c r="W106" s="152"/>
      <c r="X106" s="152"/>
      <c r="Y106" s="152"/>
      <c r="AC106" s="164" t="s">
        <v>175</v>
      </c>
      <c r="AD106" s="164">
        <v>48</v>
      </c>
      <c r="AE106" s="165">
        <v>9</v>
      </c>
      <c r="AF106" s="165">
        <v>12</v>
      </c>
      <c r="AG106" s="165">
        <v>18</v>
      </c>
      <c r="AH106" s="164"/>
      <c r="AI106" s="164"/>
      <c r="AJ106" s="501"/>
      <c r="AK106" s="166">
        <f t="shared" ca="1" si="136"/>
        <v>43.36311111111111</v>
      </c>
      <c r="AL106" s="167">
        <f t="shared" ca="1" si="154"/>
        <v>10.463111111111111</v>
      </c>
      <c r="AM106" s="167">
        <f t="shared" ca="1" si="155"/>
        <v>13.078888888888891</v>
      </c>
      <c r="AN106" s="167">
        <f t="shared" ca="1" si="156"/>
        <v>19.821111111111112</v>
      </c>
      <c r="AO106" s="178"/>
      <c r="AP106" s="178"/>
      <c r="AQ106" s="169">
        <f t="shared" ca="1" si="139"/>
        <v>43.36311111111111</v>
      </c>
      <c r="AR106" s="170">
        <f ca="1">INDEX('Cap based on indoor unit SZ'!$J$6:$J$21,MATCH(AE106,'Cap based on indoor unit SZ'!$I$6:$I$21))</f>
        <v>10.463111111111111</v>
      </c>
      <c r="AS106" s="170">
        <f ca="1">INDEX('Cap based on indoor unit SZ'!$J$6:$J$21,MATCH(AF106,'Cap based on indoor unit SZ'!$I$6:$I$21))</f>
        <v>13.078888888888891</v>
      </c>
      <c r="AT106" s="170">
        <f ca="1">INDEX('Cap based on indoor unit SZ'!$J$6:$J$21,MATCH(AG106,'Cap based on indoor unit SZ'!$I$6:$I$21))</f>
        <v>19.821111111111112</v>
      </c>
      <c r="AU106" s="179"/>
      <c r="AV106" s="179"/>
      <c r="AW106" s="169">
        <f t="shared" si="140"/>
        <v>39</v>
      </c>
      <c r="AX106" s="170">
        <v>9</v>
      </c>
      <c r="AY106" s="170">
        <v>12</v>
      </c>
      <c r="AZ106" s="170">
        <v>18</v>
      </c>
      <c r="BA106" s="179"/>
      <c r="BB106" s="179"/>
      <c r="BC106" s="172">
        <f t="shared" ca="1" si="141"/>
        <v>51.604444444444425</v>
      </c>
      <c r="BD106" s="173">
        <f t="shared" ca="1" si="157"/>
        <v>11.908717948717944</v>
      </c>
      <c r="BE106" s="173">
        <f t="shared" ca="1" si="158"/>
        <v>15.878290598290592</v>
      </c>
      <c r="BF106" s="173">
        <f t="shared" ca="1" si="159"/>
        <v>23.817435897435889</v>
      </c>
      <c r="BG106" s="180"/>
      <c r="BH106" s="180"/>
      <c r="BI106" s="166">
        <f t="shared" ca="1" si="144"/>
        <v>51.499866666666662</v>
      </c>
      <c r="BJ106" s="167">
        <f t="shared" ca="1" si="160"/>
        <v>11.956020512820512</v>
      </c>
      <c r="BK106" s="167">
        <f t="shared" ca="1" si="161"/>
        <v>14.945025641025641</v>
      </c>
      <c r="BL106" s="167">
        <f t="shared" ca="1" si="162"/>
        <v>24.598820512820513</v>
      </c>
      <c r="BM106" s="178"/>
      <c r="BN106" s="178"/>
      <c r="BO106" s="169">
        <f t="shared" ca="1" si="147"/>
        <v>51.499866666666662</v>
      </c>
      <c r="BP106" s="170">
        <f ca="1">INDEX('Cap based on indoor unit SZ'!$V$43:$V$58,MATCH(AE106,'Cap based on indoor unit SZ'!$U$43:$U$58))</f>
        <v>11.956020512820512</v>
      </c>
      <c r="BQ106" s="170">
        <f ca="1">INDEX('Cap based on indoor unit SZ'!$V$43:$V$58,MATCH(AF106,'Cap based on indoor unit SZ'!$U$43:$U$58))</f>
        <v>14.945025641025641</v>
      </c>
      <c r="BR106" s="170">
        <f ca="1">INDEX('Cap based on indoor unit SZ'!$V$43:$V$58,MATCH(AG106,'Cap based on indoor unit SZ'!$U$43:$U$58))</f>
        <v>24.598820512820513</v>
      </c>
      <c r="BS106" s="179"/>
      <c r="BT106" s="179"/>
      <c r="BU106" s="175">
        <v>9500</v>
      </c>
      <c r="BV106" s="175">
        <v>12500</v>
      </c>
      <c r="BW106" s="175">
        <v>19000</v>
      </c>
      <c r="BX106" s="179"/>
      <c r="BY106" s="179"/>
      <c r="BZ106" s="172">
        <f t="shared" ca="1" si="148"/>
        <v>55.836427350427357</v>
      </c>
      <c r="CA106" s="173">
        <f t="shared" ca="1" si="163"/>
        <v>12.885329388560161</v>
      </c>
      <c r="CB106" s="173">
        <f t="shared" ca="1" si="164"/>
        <v>17.180439184746881</v>
      </c>
      <c r="CC106" s="173">
        <f t="shared" ca="1" si="165"/>
        <v>25.770658777120321</v>
      </c>
      <c r="CD106" s="180"/>
      <c r="CE106" s="180"/>
      <c r="CF106" s="166">
        <f t="shared" ca="1" si="151"/>
        <v>35.217825613577432</v>
      </c>
      <c r="CG106" s="167">
        <f t="shared" ca="1" si="152"/>
        <v>8.4977302837520856</v>
      </c>
      <c r="CH106" s="167">
        <f t="shared" ca="1" si="153"/>
        <v>10.62216285469011</v>
      </c>
      <c r="CI106" s="167">
        <f t="shared" ca="1" si="166"/>
        <v>16.097932475135234</v>
      </c>
      <c r="CJ106" s="178"/>
      <c r="CK106" s="178"/>
    </row>
    <row r="107" spans="2:89">
      <c r="B107" s="233" t="s">
        <v>18</v>
      </c>
      <c r="S107" s="181"/>
      <c r="AC107" s="164" t="s">
        <v>174</v>
      </c>
      <c r="AD107" s="164">
        <v>48</v>
      </c>
      <c r="AE107" s="165">
        <v>9</v>
      </c>
      <c r="AF107" s="165">
        <v>12</v>
      </c>
      <c r="AG107" s="165">
        <v>24</v>
      </c>
      <c r="AH107" s="164"/>
      <c r="AI107" s="164"/>
      <c r="AJ107" s="501"/>
      <c r="AK107" s="166">
        <f t="shared" ca="1" si="136"/>
        <v>47.85199999999999</v>
      </c>
      <c r="AL107" s="167">
        <f t="shared" ca="1" si="154"/>
        <v>10.320888888888884</v>
      </c>
      <c r="AM107" s="167">
        <f t="shared" ca="1" si="155"/>
        <v>13.078888888888891</v>
      </c>
      <c r="AN107" s="167">
        <f t="shared" ca="1" si="156"/>
        <v>24.452222222222218</v>
      </c>
      <c r="AO107" s="178"/>
      <c r="AP107" s="178"/>
      <c r="AQ107" s="169">
        <f t="shared" ca="1" si="139"/>
        <v>47.99422222222222</v>
      </c>
      <c r="AR107" s="170">
        <f ca="1">INDEX('Cap based on indoor unit SZ'!$J$6:$J$21,MATCH(AE107,'Cap based on indoor unit SZ'!$I$6:$I$21))</f>
        <v>10.463111111111111</v>
      </c>
      <c r="AS107" s="170">
        <f ca="1">INDEX('Cap based on indoor unit SZ'!$J$6:$J$21,MATCH(AF107,'Cap based on indoor unit SZ'!$I$6:$I$21))</f>
        <v>13.078888888888891</v>
      </c>
      <c r="AT107" s="170">
        <f ca="1">INDEX('Cap based on indoor unit SZ'!$J$6:$J$21,MATCH(AG107,'Cap based on indoor unit SZ'!$I$6:$I$21))</f>
        <v>24.452222222222218</v>
      </c>
      <c r="AU107" s="179"/>
      <c r="AV107" s="179"/>
      <c r="AW107" s="169">
        <f t="shared" si="140"/>
        <v>42.5</v>
      </c>
      <c r="AX107" s="170">
        <v>9</v>
      </c>
      <c r="AY107" s="170">
        <v>12</v>
      </c>
      <c r="AZ107" s="170">
        <v>21.5</v>
      </c>
      <c r="BA107" s="179"/>
      <c r="BB107" s="179"/>
      <c r="BC107" s="172">
        <f t="shared" ca="1" si="141"/>
        <v>51.604444444444425</v>
      </c>
      <c r="BD107" s="173">
        <f t="shared" ca="1" si="157"/>
        <v>10.320888888888884</v>
      </c>
      <c r="BE107" s="173">
        <f t="shared" ca="1" si="158"/>
        <v>13.761185185185179</v>
      </c>
      <c r="BF107" s="173">
        <f t="shared" ca="1" si="159"/>
        <v>27.522370370370357</v>
      </c>
      <c r="BG107" s="180"/>
      <c r="BH107" s="180"/>
      <c r="BI107" s="166">
        <f t="shared" ca="1" si="144"/>
        <v>55.836427350427357</v>
      </c>
      <c r="BJ107" s="167">
        <f t="shared" ca="1" si="160"/>
        <v>11.167285470085471</v>
      </c>
      <c r="BK107" s="167">
        <f t="shared" ca="1" si="161"/>
        <v>14.88971396011396</v>
      </c>
      <c r="BL107" s="167">
        <f t="shared" ca="1" si="162"/>
        <v>29.779427920227921</v>
      </c>
      <c r="BM107" s="178"/>
      <c r="BN107" s="178"/>
      <c r="BO107" s="169">
        <f t="shared" ca="1" si="147"/>
        <v>57.191046153846159</v>
      </c>
      <c r="BP107" s="170">
        <f ca="1">INDEX('Cap based on indoor unit SZ'!$V$43:$V$58,MATCH(AE107,'Cap based on indoor unit SZ'!$U$43:$U$58))</f>
        <v>11.956020512820512</v>
      </c>
      <c r="BQ107" s="170">
        <f ca="1">INDEX('Cap based on indoor unit SZ'!$V$43:$V$58,MATCH(AF107,'Cap based on indoor unit SZ'!$U$43:$U$58))</f>
        <v>14.945025641025641</v>
      </c>
      <c r="BR107" s="170">
        <f ca="1">INDEX('Cap based on indoor unit SZ'!$V$43:$V$58,MATCH(AG107,'Cap based on indoor unit SZ'!$U$43:$U$58))</f>
        <v>30.290000000000003</v>
      </c>
      <c r="BS107" s="179"/>
      <c r="BT107" s="179"/>
      <c r="BU107" s="175">
        <v>9500</v>
      </c>
      <c r="BV107" s="175">
        <v>12500</v>
      </c>
      <c r="BW107" s="175">
        <v>22000</v>
      </c>
      <c r="BX107" s="179"/>
      <c r="BY107" s="179"/>
      <c r="BZ107" s="172">
        <f t="shared" ca="1" si="148"/>
        <v>55.836427350427357</v>
      </c>
      <c r="CA107" s="173">
        <f t="shared" ca="1" si="163"/>
        <v>11.167285470085471</v>
      </c>
      <c r="CB107" s="173">
        <f t="shared" ca="1" si="164"/>
        <v>14.88971396011396</v>
      </c>
      <c r="CC107" s="173">
        <f t="shared" ca="1" si="165"/>
        <v>29.779427920227921</v>
      </c>
      <c r="CD107" s="180"/>
      <c r="CE107" s="180"/>
      <c r="CF107" s="166">
        <f t="shared" ca="1" si="151"/>
        <v>38.863525888231067</v>
      </c>
      <c r="CG107" s="167">
        <f t="shared" ca="1" si="152"/>
        <v>8.3822229483175121</v>
      </c>
      <c r="CH107" s="167">
        <f t="shared" ca="1" si="153"/>
        <v>10.62216285469011</v>
      </c>
      <c r="CI107" s="167">
        <f t="shared" ca="1" si="166"/>
        <v>19.859140085223444</v>
      </c>
      <c r="CJ107" s="178"/>
      <c r="CK107" s="178"/>
    </row>
    <row r="108" spans="2:89">
      <c r="B108" s="233" t="s">
        <v>19</v>
      </c>
      <c r="S108" s="181"/>
      <c r="AC108" s="164" t="s">
        <v>173</v>
      </c>
      <c r="AD108" s="164">
        <v>48</v>
      </c>
      <c r="AE108" s="165">
        <v>9</v>
      </c>
      <c r="AF108" s="165">
        <v>18</v>
      </c>
      <c r="AG108" s="165">
        <v>18</v>
      </c>
      <c r="AH108" s="164"/>
      <c r="AI108" s="164"/>
      <c r="AJ108" s="501"/>
      <c r="AK108" s="166">
        <f t="shared" ca="1" si="136"/>
        <v>49.963111111111104</v>
      </c>
      <c r="AL108" s="167">
        <f t="shared" ca="1" si="154"/>
        <v>10.320888888888884</v>
      </c>
      <c r="AM108" s="167">
        <f t="shared" ca="1" si="155"/>
        <v>19.821111111111112</v>
      </c>
      <c r="AN108" s="167">
        <f t="shared" ca="1" si="156"/>
        <v>19.821111111111112</v>
      </c>
      <c r="AO108" s="178"/>
      <c r="AP108" s="178"/>
      <c r="AQ108" s="169">
        <f t="shared" ca="1" si="139"/>
        <v>50.105333333333334</v>
      </c>
      <c r="AR108" s="170">
        <f ca="1">INDEX('Cap based on indoor unit SZ'!$J$6:$J$21,MATCH(AE108,'Cap based on indoor unit SZ'!$I$6:$I$21))</f>
        <v>10.463111111111111</v>
      </c>
      <c r="AS108" s="170">
        <f ca="1">INDEX('Cap based on indoor unit SZ'!$J$6:$J$21,MATCH(AF108,'Cap based on indoor unit SZ'!$I$6:$I$21))</f>
        <v>19.821111111111112</v>
      </c>
      <c r="AT108" s="170">
        <f ca="1">INDEX('Cap based on indoor unit SZ'!$J$6:$J$21,MATCH(AG108,'Cap based on indoor unit SZ'!$I$6:$I$21))</f>
        <v>19.821111111111112</v>
      </c>
      <c r="AU108" s="179"/>
      <c r="AV108" s="179"/>
      <c r="AW108" s="169">
        <f t="shared" si="140"/>
        <v>45</v>
      </c>
      <c r="AX108" s="170">
        <v>9</v>
      </c>
      <c r="AY108" s="170">
        <v>18</v>
      </c>
      <c r="AZ108" s="170">
        <v>18</v>
      </c>
      <c r="BA108" s="179"/>
      <c r="BB108" s="179"/>
      <c r="BC108" s="172">
        <f t="shared" ca="1" si="141"/>
        <v>51.604444444444425</v>
      </c>
      <c r="BD108" s="173">
        <f t="shared" ca="1" si="157"/>
        <v>10.320888888888884</v>
      </c>
      <c r="BE108" s="173">
        <f t="shared" ca="1" si="158"/>
        <v>20.641777777777769</v>
      </c>
      <c r="BF108" s="173">
        <f t="shared" ca="1" si="159"/>
        <v>20.641777777777769</v>
      </c>
      <c r="BG108" s="180"/>
      <c r="BH108" s="180"/>
      <c r="BI108" s="166">
        <f t="shared" ca="1" si="144"/>
        <v>55.83642735042735</v>
      </c>
      <c r="BJ108" s="167">
        <f t="shared" ca="1" si="160"/>
        <v>11.167285470085471</v>
      </c>
      <c r="BK108" s="167">
        <f t="shared" ca="1" si="161"/>
        <v>22.334570940170941</v>
      </c>
      <c r="BL108" s="167">
        <f t="shared" ca="1" si="162"/>
        <v>22.334570940170941</v>
      </c>
      <c r="BM108" s="178"/>
      <c r="BN108" s="178"/>
      <c r="BO108" s="169">
        <f t="shared" ca="1" si="147"/>
        <v>61.153661538461535</v>
      </c>
      <c r="BP108" s="170">
        <f ca="1">INDEX('Cap based on indoor unit SZ'!$V$43:$V$58,MATCH(AE108,'Cap based on indoor unit SZ'!$U$43:$U$58))</f>
        <v>11.956020512820512</v>
      </c>
      <c r="BQ108" s="170">
        <f ca="1">INDEX('Cap based on indoor unit SZ'!$V$43:$V$58,MATCH(AF108,'Cap based on indoor unit SZ'!$U$43:$U$58))</f>
        <v>24.598820512820513</v>
      </c>
      <c r="BR108" s="170">
        <f ca="1">INDEX('Cap based on indoor unit SZ'!$V$43:$V$58,MATCH(AG108,'Cap based on indoor unit SZ'!$U$43:$U$58))</f>
        <v>24.598820512820513</v>
      </c>
      <c r="BS108" s="179"/>
      <c r="BT108" s="179"/>
      <c r="BU108" s="175">
        <v>9500</v>
      </c>
      <c r="BV108" s="175">
        <v>18500</v>
      </c>
      <c r="BW108" s="175">
        <v>18500</v>
      </c>
      <c r="BX108" s="179"/>
      <c r="BY108" s="179"/>
      <c r="BZ108" s="172">
        <f t="shared" ca="1" si="148"/>
        <v>55.83642735042735</v>
      </c>
      <c r="CA108" s="173">
        <f t="shared" ca="1" si="163"/>
        <v>11.167285470085471</v>
      </c>
      <c r="CB108" s="173">
        <f t="shared" ca="1" si="164"/>
        <v>22.334570940170941</v>
      </c>
      <c r="CC108" s="173">
        <f t="shared" ca="1" si="165"/>
        <v>22.334570940170941</v>
      </c>
      <c r="CD108" s="180"/>
      <c r="CE108" s="180"/>
      <c r="CF108" s="166">
        <f t="shared" ca="1" si="151"/>
        <v>40.578087898587981</v>
      </c>
      <c r="CG108" s="167">
        <f t="shared" ca="1" si="152"/>
        <v>8.3822229483175121</v>
      </c>
      <c r="CH108" s="167">
        <f t="shared" ca="1" si="153"/>
        <v>16.097932475135234</v>
      </c>
      <c r="CI108" s="167">
        <f t="shared" ca="1" si="166"/>
        <v>16.097932475135234</v>
      </c>
      <c r="CJ108" s="178"/>
      <c r="CK108" s="178"/>
    </row>
    <row r="109" spans="2:89">
      <c r="B109" s="233" t="s">
        <v>20</v>
      </c>
      <c r="S109" s="181"/>
      <c r="AC109" s="164" t="s">
        <v>172</v>
      </c>
      <c r="AD109" s="164">
        <v>48</v>
      </c>
      <c r="AE109" s="165">
        <v>9</v>
      </c>
      <c r="AF109" s="165">
        <v>18</v>
      </c>
      <c r="AG109" s="165">
        <v>24</v>
      </c>
      <c r="AH109" s="164"/>
      <c r="AI109" s="164"/>
      <c r="AJ109" s="501"/>
      <c r="AK109" s="166">
        <f t="shared" ca="1" si="136"/>
        <v>51.604444444444425</v>
      </c>
      <c r="AL109" s="167">
        <f t="shared" ca="1" si="154"/>
        <v>9.1066666666666638</v>
      </c>
      <c r="AM109" s="167">
        <f t="shared" ca="1" si="155"/>
        <v>18.213333333333328</v>
      </c>
      <c r="AN109" s="167">
        <f t="shared" ca="1" si="156"/>
        <v>24.284444444444436</v>
      </c>
      <c r="AO109" s="178"/>
      <c r="AP109" s="178"/>
      <c r="AQ109" s="169">
        <f t="shared" ca="1" si="139"/>
        <v>54.736444444444444</v>
      </c>
      <c r="AR109" s="170">
        <f ca="1">INDEX('Cap based on indoor unit SZ'!$J$6:$J$21,MATCH(AE109,'Cap based on indoor unit SZ'!$I$6:$I$21))</f>
        <v>10.463111111111111</v>
      </c>
      <c r="AS109" s="170">
        <f ca="1">INDEX('Cap based on indoor unit SZ'!$J$6:$J$21,MATCH(AF109,'Cap based on indoor unit SZ'!$I$6:$I$21))</f>
        <v>19.821111111111112</v>
      </c>
      <c r="AT109" s="170">
        <f ca="1">INDEX('Cap based on indoor unit SZ'!$J$6:$J$21,MATCH(AG109,'Cap based on indoor unit SZ'!$I$6:$I$21))</f>
        <v>24.452222222222218</v>
      </c>
      <c r="AU109" s="179"/>
      <c r="AV109" s="179"/>
      <c r="AW109" s="169">
        <f t="shared" si="140"/>
        <v>46</v>
      </c>
      <c r="AX109" s="170">
        <v>8.5</v>
      </c>
      <c r="AY109" s="170">
        <v>16</v>
      </c>
      <c r="AZ109" s="170">
        <v>21.5</v>
      </c>
      <c r="BA109" s="179"/>
      <c r="BB109" s="179"/>
      <c r="BC109" s="172">
        <f t="shared" ca="1" si="141"/>
        <v>51.604444444444425</v>
      </c>
      <c r="BD109" s="173">
        <f t="shared" ca="1" si="157"/>
        <v>9.1066666666666638</v>
      </c>
      <c r="BE109" s="173">
        <f t="shared" ca="1" si="158"/>
        <v>18.213333333333328</v>
      </c>
      <c r="BF109" s="173">
        <f t="shared" ca="1" si="159"/>
        <v>24.284444444444436</v>
      </c>
      <c r="BG109" s="180"/>
      <c r="BH109" s="180"/>
      <c r="BI109" s="166">
        <f t="shared" ca="1" si="144"/>
        <v>55.836427350427364</v>
      </c>
      <c r="BJ109" s="167">
        <f t="shared" ca="1" si="160"/>
        <v>9.8534871794871819</v>
      </c>
      <c r="BK109" s="167">
        <f t="shared" ca="1" si="161"/>
        <v>19.706974358974364</v>
      </c>
      <c r="BL109" s="167">
        <f t="shared" ca="1" si="162"/>
        <v>26.275965811965818</v>
      </c>
      <c r="BM109" s="178"/>
      <c r="BN109" s="178"/>
      <c r="BO109" s="169">
        <f t="shared" ca="1" si="147"/>
        <v>66.844841025641031</v>
      </c>
      <c r="BP109" s="170">
        <f ca="1">INDEX('Cap based on indoor unit SZ'!$V$43:$V$58,MATCH(AE109,'Cap based on indoor unit SZ'!$U$43:$U$58))</f>
        <v>11.956020512820512</v>
      </c>
      <c r="BQ109" s="170">
        <f ca="1">INDEX('Cap based on indoor unit SZ'!$V$43:$V$58,MATCH(AF109,'Cap based on indoor unit SZ'!$U$43:$U$58))</f>
        <v>24.598820512820513</v>
      </c>
      <c r="BR109" s="170">
        <f ca="1">INDEX('Cap based on indoor unit SZ'!$V$43:$V$58,MATCH(AG109,'Cap based on indoor unit SZ'!$U$43:$U$58))</f>
        <v>30.290000000000003</v>
      </c>
      <c r="BS109" s="179"/>
      <c r="BT109" s="179"/>
      <c r="BU109" s="175">
        <v>9500</v>
      </c>
      <c r="BV109" s="175">
        <v>16500</v>
      </c>
      <c r="BW109" s="175">
        <v>22000</v>
      </c>
      <c r="BX109" s="179"/>
      <c r="BY109" s="179"/>
      <c r="BZ109" s="172">
        <f t="shared" ca="1" si="148"/>
        <v>55.836427350427364</v>
      </c>
      <c r="CA109" s="173">
        <f t="shared" ca="1" si="163"/>
        <v>9.8534871794871819</v>
      </c>
      <c r="CB109" s="173">
        <f t="shared" ca="1" si="164"/>
        <v>19.706974358974364</v>
      </c>
      <c r="CC109" s="173">
        <f t="shared" ca="1" si="165"/>
        <v>26.275965811965818</v>
      </c>
      <c r="CD109" s="180"/>
      <c r="CE109" s="180"/>
      <c r="CF109" s="166">
        <f t="shared" ca="1" si="151"/>
        <v>41.911114741587568</v>
      </c>
      <c r="CG109" s="167">
        <f t="shared" ca="1" si="152"/>
        <v>7.3960790720448646</v>
      </c>
      <c r="CH109" s="167">
        <f t="shared" ca="1" si="153"/>
        <v>14.792158144089729</v>
      </c>
      <c r="CI109" s="167">
        <f t="shared" ca="1" si="166"/>
        <v>19.722877525452972</v>
      </c>
      <c r="CJ109" s="178"/>
      <c r="CK109" s="178"/>
    </row>
    <row r="110" spans="2:89">
      <c r="B110" s="233" t="s">
        <v>21</v>
      </c>
      <c r="S110" s="181"/>
      <c r="AC110" s="164" t="s">
        <v>171</v>
      </c>
      <c r="AD110" s="164">
        <v>48</v>
      </c>
      <c r="AE110" s="165">
        <v>9</v>
      </c>
      <c r="AF110" s="165">
        <v>24</v>
      </c>
      <c r="AG110" s="165">
        <v>24</v>
      </c>
      <c r="AH110" s="164"/>
      <c r="AI110" s="164"/>
      <c r="AJ110" s="501"/>
      <c r="AK110" s="166">
        <f t="shared" ca="1" si="136"/>
        <v>51.604444444444425</v>
      </c>
      <c r="AL110" s="167">
        <f t="shared" ca="1" si="154"/>
        <v>8.148070175438594</v>
      </c>
      <c r="AM110" s="167">
        <f t="shared" ca="1" si="155"/>
        <v>21.728187134502917</v>
      </c>
      <c r="AN110" s="167">
        <f t="shared" ca="1" si="156"/>
        <v>21.728187134502917</v>
      </c>
      <c r="AO110" s="178"/>
      <c r="AP110" s="178"/>
      <c r="AQ110" s="169">
        <f t="shared" ca="1" si="139"/>
        <v>59.367555555555548</v>
      </c>
      <c r="AR110" s="170">
        <f ca="1">INDEX('Cap based on indoor unit SZ'!$J$6:$J$21,MATCH(AE110,'Cap based on indoor unit SZ'!$I$6:$I$21))</f>
        <v>10.463111111111111</v>
      </c>
      <c r="AS110" s="170">
        <f ca="1">INDEX('Cap based on indoor unit SZ'!$J$6:$J$21,MATCH(AF110,'Cap based on indoor unit SZ'!$I$6:$I$21))</f>
        <v>24.452222222222218</v>
      </c>
      <c r="AT110" s="170">
        <f ca="1">INDEX('Cap based on indoor unit SZ'!$J$6:$J$21,MATCH(AG110,'Cap based on indoor unit SZ'!$I$6:$I$21))</f>
        <v>24.452222222222218</v>
      </c>
      <c r="AU110" s="179"/>
      <c r="AV110" s="179"/>
      <c r="AW110" s="169">
        <f t="shared" si="140"/>
        <v>48</v>
      </c>
      <c r="AX110" s="170">
        <v>8</v>
      </c>
      <c r="AY110" s="170">
        <v>20</v>
      </c>
      <c r="AZ110" s="170">
        <v>20</v>
      </c>
      <c r="BA110" s="179"/>
      <c r="BB110" s="179"/>
      <c r="BC110" s="172">
        <f t="shared" ca="1" si="141"/>
        <v>51.604444444444425</v>
      </c>
      <c r="BD110" s="173">
        <f t="shared" ca="1" si="157"/>
        <v>8.148070175438594</v>
      </c>
      <c r="BE110" s="173">
        <f t="shared" ca="1" si="158"/>
        <v>21.728187134502917</v>
      </c>
      <c r="BF110" s="173">
        <f t="shared" ca="1" si="159"/>
        <v>21.728187134502917</v>
      </c>
      <c r="BG110" s="180"/>
      <c r="BH110" s="180"/>
      <c r="BI110" s="166">
        <f t="shared" ca="1" si="144"/>
        <v>55.836427350427364</v>
      </c>
      <c r="BJ110" s="167">
        <f t="shared" ca="1" si="160"/>
        <v>8.8162780026990575</v>
      </c>
      <c r="BK110" s="167">
        <f t="shared" ca="1" si="161"/>
        <v>23.510074673864153</v>
      </c>
      <c r="BL110" s="167">
        <f t="shared" ca="1" si="162"/>
        <v>23.510074673864153</v>
      </c>
      <c r="BM110" s="178"/>
      <c r="BN110" s="178"/>
      <c r="BO110" s="169">
        <f t="shared" ca="1" si="147"/>
        <v>72.536020512820514</v>
      </c>
      <c r="BP110" s="170">
        <f ca="1">INDEX('Cap based on indoor unit SZ'!$V$43:$V$58,MATCH(AE110,'Cap based on indoor unit SZ'!$U$43:$U$58))</f>
        <v>11.956020512820512</v>
      </c>
      <c r="BQ110" s="170">
        <f ca="1">INDEX('Cap based on indoor unit SZ'!$V$43:$V$58,MATCH(AF110,'Cap based on indoor unit SZ'!$U$43:$U$58))</f>
        <v>30.290000000000003</v>
      </c>
      <c r="BR110" s="170">
        <f ca="1">INDEX('Cap based on indoor unit SZ'!$V$43:$V$58,MATCH(AG110,'Cap based on indoor unit SZ'!$U$43:$U$58))</f>
        <v>30.290000000000003</v>
      </c>
      <c r="BS110" s="179"/>
      <c r="BT110" s="179"/>
      <c r="BU110" s="175">
        <v>8500</v>
      </c>
      <c r="BV110" s="175">
        <v>21000</v>
      </c>
      <c r="BW110" s="175">
        <v>21000</v>
      </c>
      <c r="BX110" s="179"/>
      <c r="BY110" s="179"/>
      <c r="BZ110" s="172">
        <f t="shared" ca="1" si="148"/>
        <v>55.836427350427364</v>
      </c>
      <c r="CA110" s="173">
        <f t="shared" ca="1" si="163"/>
        <v>8.8162780026990575</v>
      </c>
      <c r="CB110" s="173">
        <f t="shared" ca="1" si="164"/>
        <v>23.510074673864153</v>
      </c>
      <c r="CC110" s="173">
        <f t="shared" ca="1" si="165"/>
        <v>23.510074673864153</v>
      </c>
      <c r="CD110" s="180"/>
      <c r="CE110" s="180"/>
      <c r="CF110" s="166">
        <f t="shared" ca="1" si="151"/>
        <v>41.911114741587568</v>
      </c>
      <c r="CG110" s="167">
        <f t="shared" ca="1" si="152"/>
        <v>6.617544432882247</v>
      </c>
      <c r="CH110" s="167">
        <f t="shared" ca="1" si="153"/>
        <v>17.64678515435266</v>
      </c>
      <c r="CI110" s="167">
        <f t="shared" ca="1" si="166"/>
        <v>17.64678515435266</v>
      </c>
      <c r="CJ110" s="178"/>
      <c r="CK110" s="178"/>
    </row>
    <row r="111" spans="2:89">
      <c r="B111" s="233" t="s">
        <v>22</v>
      </c>
      <c r="AC111" s="164" t="s">
        <v>170</v>
      </c>
      <c r="AD111" s="164">
        <v>48</v>
      </c>
      <c r="AE111" s="165">
        <v>12</v>
      </c>
      <c r="AF111" s="165">
        <v>12</v>
      </c>
      <c r="AG111" s="165">
        <v>12</v>
      </c>
      <c r="AH111" s="164"/>
      <c r="AI111" s="164"/>
      <c r="AJ111" s="501"/>
      <c r="AK111" s="166">
        <f t="shared" ca="1" si="136"/>
        <v>39.236666666666672</v>
      </c>
      <c r="AL111" s="167">
        <f t="shared" ca="1" si="154"/>
        <v>13.078888888888891</v>
      </c>
      <c r="AM111" s="167">
        <f t="shared" ca="1" si="155"/>
        <v>13.078888888888891</v>
      </c>
      <c r="AN111" s="167">
        <f t="shared" ca="1" si="156"/>
        <v>13.078888888888891</v>
      </c>
      <c r="AO111" s="178"/>
      <c r="AP111" s="178"/>
      <c r="AQ111" s="169">
        <f t="shared" ca="1" si="139"/>
        <v>39.236666666666672</v>
      </c>
      <c r="AR111" s="170">
        <f ca="1">INDEX('Cap based on indoor unit SZ'!$J$6:$J$21,MATCH(AE111,'Cap based on indoor unit SZ'!$I$6:$I$21))</f>
        <v>13.078888888888891</v>
      </c>
      <c r="AS111" s="170">
        <f ca="1">INDEX('Cap based on indoor unit SZ'!$J$6:$J$21,MATCH(AF111,'Cap based on indoor unit SZ'!$I$6:$I$21))</f>
        <v>13.078888888888891</v>
      </c>
      <c r="AT111" s="170">
        <f ca="1">INDEX('Cap based on indoor unit SZ'!$J$6:$J$21,MATCH(AG111,'Cap based on indoor unit SZ'!$I$6:$I$21))</f>
        <v>13.078888888888891</v>
      </c>
      <c r="AU111" s="179"/>
      <c r="AV111" s="179"/>
      <c r="AW111" s="169">
        <f t="shared" si="140"/>
        <v>36</v>
      </c>
      <c r="AX111" s="170">
        <v>12</v>
      </c>
      <c r="AY111" s="170">
        <v>12</v>
      </c>
      <c r="AZ111" s="170">
        <v>12</v>
      </c>
      <c r="BA111" s="179"/>
      <c r="BB111" s="179"/>
      <c r="BC111" s="172">
        <f t="shared" ca="1" si="141"/>
        <v>51.604444444444418</v>
      </c>
      <c r="BD111" s="173">
        <f t="shared" ca="1" si="157"/>
        <v>17.201481481481473</v>
      </c>
      <c r="BE111" s="173">
        <f t="shared" ca="1" si="158"/>
        <v>17.201481481481473</v>
      </c>
      <c r="BF111" s="173">
        <f t="shared" ca="1" si="159"/>
        <v>17.201481481481473</v>
      </c>
      <c r="BG111" s="180"/>
      <c r="BH111" s="180"/>
      <c r="BI111" s="166">
        <f t="shared" ca="1" si="144"/>
        <v>44.835076923076926</v>
      </c>
      <c r="BJ111" s="167">
        <f t="shared" ca="1" si="160"/>
        <v>14.945025641025641</v>
      </c>
      <c r="BK111" s="167">
        <f t="shared" ca="1" si="161"/>
        <v>14.945025641025641</v>
      </c>
      <c r="BL111" s="167">
        <f t="shared" ca="1" si="162"/>
        <v>14.945025641025641</v>
      </c>
      <c r="BM111" s="178"/>
      <c r="BN111" s="178"/>
      <c r="BO111" s="169">
        <f t="shared" ca="1" si="147"/>
        <v>44.835076923076926</v>
      </c>
      <c r="BP111" s="170">
        <f ca="1">INDEX('Cap based on indoor unit SZ'!$V$43:$V$58,MATCH(AE111,'Cap based on indoor unit SZ'!$U$43:$U$58))</f>
        <v>14.945025641025641</v>
      </c>
      <c r="BQ111" s="170">
        <f ca="1">INDEX('Cap based on indoor unit SZ'!$V$43:$V$58,MATCH(AF111,'Cap based on indoor unit SZ'!$U$43:$U$58))</f>
        <v>14.945025641025641</v>
      </c>
      <c r="BR111" s="170">
        <f ca="1">INDEX('Cap based on indoor unit SZ'!$V$43:$V$58,MATCH(AG111,'Cap based on indoor unit SZ'!$U$43:$U$58))</f>
        <v>14.945025641025641</v>
      </c>
      <c r="BS111" s="179"/>
      <c r="BT111" s="179"/>
      <c r="BU111" s="175">
        <v>13000</v>
      </c>
      <c r="BV111" s="175">
        <v>13000</v>
      </c>
      <c r="BW111" s="175">
        <v>13000</v>
      </c>
      <c r="BX111" s="179"/>
      <c r="BY111" s="179"/>
      <c r="BZ111" s="172">
        <f t="shared" ca="1" si="148"/>
        <v>55.83642735042735</v>
      </c>
      <c r="CA111" s="173">
        <f t="shared" ca="1" si="163"/>
        <v>18.61214245014245</v>
      </c>
      <c r="CB111" s="173">
        <f t="shared" ca="1" si="164"/>
        <v>18.61214245014245</v>
      </c>
      <c r="CC111" s="173">
        <f t="shared" ca="1" si="165"/>
        <v>18.61214245014245</v>
      </c>
      <c r="CD111" s="180"/>
      <c r="CE111" s="180"/>
      <c r="CF111" s="166">
        <f t="shared" ca="1" si="151"/>
        <v>31.86648856407033</v>
      </c>
      <c r="CG111" s="167">
        <f t="shared" ca="1" si="152"/>
        <v>10.62216285469011</v>
      </c>
      <c r="CH111" s="167">
        <f t="shared" ca="1" si="153"/>
        <v>10.62216285469011</v>
      </c>
      <c r="CI111" s="167">
        <f t="shared" ca="1" si="166"/>
        <v>10.62216285469011</v>
      </c>
      <c r="CJ111" s="178"/>
      <c r="CK111" s="178"/>
    </row>
    <row r="112" spans="2:89">
      <c r="B112" s="233" t="s">
        <v>23</v>
      </c>
      <c r="AC112" s="164" t="s">
        <v>169</v>
      </c>
      <c r="AD112" s="164">
        <v>48</v>
      </c>
      <c r="AE112" s="165">
        <v>12</v>
      </c>
      <c r="AF112" s="165">
        <v>12</v>
      </c>
      <c r="AG112" s="165">
        <v>18</v>
      </c>
      <c r="AH112" s="164"/>
      <c r="AI112" s="164"/>
      <c r="AJ112" s="501"/>
      <c r="AK112" s="166">
        <f t="shared" ca="1" si="136"/>
        <v>45.978888888888889</v>
      </c>
      <c r="AL112" s="167">
        <f t="shared" ca="1" si="154"/>
        <v>13.078888888888891</v>
      </c>
      <c r="AM112" s="167">
        <f t="shared" ca="1" si="155"/>
        <v>13.078888888888891</v>
      </c>
      <c r="AN112" s="167">
        <f t="shared" ca="1" si="156"/>
        <v>19.821111111111112</v>
      </c>
      <c r="AO112" s="178"/>
      <c r="AP112" s="178"/>
      <c r="AQ112" s="169">
        <f t="shared" ca="1" si="139"/>
        <v>45.978888888888889</v>
      </c>
      <c r="AR112" s="170">
        <f ca="1">INDEX('Cap based on indoor unit SZ'!$J$6:$J$21,MATCH(AE112,'Cap based on indoor unit SZ'!$I$6:$I$21))</f>
        <v>13.078888888888891</v>
      </c>
      <c r="AS112" s="170">
        <f ca="1">INDEX('Cap based on indoor unit SZ'!$J$6:$J$21,MATCH(AF112,'Cap based on indoor unit SZ'!$I$6:$I$21))</f>
        <v>13.078888888888891</v>
      </c>
      <c r="AT112" s="170">
        <f ca="1">INDEX('Cap based on indoor unit SZ'!$J$6:$J$21,MATCH(AG112,'Cap based on indoor unit SZ'!$I$6:$I$21))</f>
        <v>19.821111111111112</v>
      </c>
      <c r="AU112" s="179"/>
      <c r="AV112" s="179"/>
      <c r="AW112" s="169">
        <f t="shared" si="140"/>
        <v>41</v>
      </c>
      <c r="AX112" s="170">
        <v>12</v>
      </c>
      <c r="AY112" s="170">
        <v>12</v>
      </c>
      <c r="AZ112" s="170">
        <v>17</v>
      </c>
      <c r="BA112" s="179"/>
      <c r="BB112" s="179"/>
      <c r="BC112" s="172">
        <f t="shared" ca="1" si="141"/>
        <v>51.604444444444432</v>
      </c>
      <c r="BD112" s="173">
        <f t="shared" ca="1" si="157"/>
        <v>14.74412698412698</v>
      </c>
      <c r="BE112" s="173">
        <f t="shared" ca="1" si="158"/>
        <v>14.74412698412698</v>
      </c>
      <c r="BF112" s="173">
        <f t="shared" ca="1" si="159"/>
        <v>22.116190476190472</v>
      </c>
      <c r="BG112" s="180"/>
      <c r="BH112" s="180"/>
      <c r="BI112" s="166">
        <f t="shared" ca="1" si="144"/>
        <v>53.819948717948719</v>
      </c>
      <c r="BJ112" s="167">
        <f t="shared" ca="1" si="160"/>
        <v>14.945025641025641</v>
      </c>
      <c r="BK112" s="167">
        <f t="shared" ca="1" si="161"/>
        <v>14.945025641025641</v>
      </c>
      <c r="BL112" s="167">
        <f t="shared" ca="1" si="162"/>
        <v>23.929897435897441</v>
      </c>
      <c r="BM112" s="178"/>
      <c r="BN112" s="178"/>
      <c r="BO112" s="169">
        <f t="shared" ca="1" si="147"/>
        <v>54.488871794871798</v>
      </c>
      <c r="BP112" s="170">
        <f ca="1">INDEX('Cap based on indoor unit SZ'!$V$43:$V$58,MATCH(AE112,'Cap based on indoor unit SZ'!$U$43:$U$58))</f>
        <v>14.945025641025641</v>
      </c>
      <c r="BQ112" s="170">
        <f ca="1">INDEX('Cap based on indoor unit SZ'!$V$43:$V$58,MATCH(AF112,'Cap based on indoor unit SZ'!$U$43:$U$58))</f>
        <v>14.945025641025641</v>
      </c>
      <c r="BR112" s="170">
        <f ca="1">INDEX('Cap based on indoor unit SZ'!$V$43:$V$58,MATCH(AG112,'Cap based on indoor unit SZ'!$U$43:$U$58))</f>
        <v>24.598820512820513</v>
      </c>
      <c r="BS112" s="179"/>
      <c r="BT112" s="179"/>
      <c r="BU112" s="175">
        <v>12500</v>
      </c>
      <c r="BV112" s="175">
        <v>12500</v>
      </c>
      <c r="BW112" s="175">
        <v>18000</v>
      </c>
      <c r="BX112" s="179"/>
      <c r="BY112" s="179"/>
      <c r="BZ112" s="172">
        <f t="shared" ca="1" si="148"/>
        <v>55.836427350427357</v>
      </c>
      <c r="CA112" s="173">
        <f t="shared" ca="1" si="163"/>
        <v>15.95326495726496</v>
      </c>
      <c r="CB112" s="173">
        <f t="shared" ca="1" si="164"/>
        <v>15.95326495726496</v>
      </c>
      <c r="CC112" s="173">
        <f t="shared" ca="1" si="165"/>
        <v>23.929897435897441</v>
      </c>
      <c r="CD112" s="180"/>
      <c r="CE112" s="180"/>
      <c r="CF112" s="166">
        <f t="shared" ca="1" si="151"/>
        <v>37.342258184515458</v>
      </c>
      <c r="CG112" s="167">
        <f t="shared" ca="1" si="152"/>
        <v>10.62216285469011</v>
      </c>
      <c r="CH112" s="167">
        <f t="shared" ca="1" si="153"/>
        <v>10.62216285469011</v>
      </c>
      <c r="CI112" s="167">
        <f t="shared" ca="1" si="166"/>
        <v>16.097932475135234</v>
      </c>
      <c r="CJ112" s="178"/>
      <c r="CK112" s="178"/>
    </row>
    <row r="113" spans="2:89">
      <c r="B113" s="233"/>
      <c r="AC113" s="164" t="s">
        <v>168</v>
      </c>
      <c r="AD113" s="164">
        <v>48</v>
      </c>
      <c r="AE113" s="165">
        <v>12</v>
      </c>
      <c r="AF113" s="165">
        <v>12</v>
      </c>
      <c r="AG113" s="165">
        <v>24</v>
      </c>
      <c r="AH113" s="164"/>
      <c r="AI113" s="164"/>
      <c r="AJ113" s="501"/>
      <c r="AK113" s="166">
        <f t="shared" ca="1" si="136"/>
        <v>50.254444444444431</v>
      </c>
      <c r="AL113" s="167">
        <f t="shared" ca="1" si="154"/>
        <v>12.901111111111106</v>
      </c>
      <c r="AM113" s="167">
        <f t="shared" ca="1" si="155"/>
        <v>12.901111111111106</v>
      </c>
      <c r="AN113" s="167">
        <f t="shared" ca="1" si="156"/>
        <v>24.452222222222218</v>
      </c>
      <c r="AO113" s="178"/>
      <c r="AP113" s="178"/>
      <c r="AQ113" s="169">
        <f t="shared" ca="1" si="139"/>
        <v>50.61</v>
      </c>
      <c r="AR113" s="170">
        <f ca="1">INDEX('Cap based on indoor unit SZ'!$J$6:$J$21,MATCH(AE113,'Cap based on indoor unit SZ'!$I$6:$I$21))</f>
        <v>13.078888888888891</v>
      </c>
      <c r="AS113" s="170">
        <f ca="1">INDEX('Cap based on indoor unit SZ'!$J$6:$J$21,MATCH(AF113,'Cap based on indoor unit SZ'!$I$6:$I$21))</f>
        <v>13.078888888888891</v>
      </c>
      <c r="AT113" s="170">
        <f ca="1">INDEX('Cap based on indoor unit SZ'!$J$6:$J$21,MATCH(AG113,'Cap based on indoor unit SZ'!$I$6:$I$21))</f>
        <v>24.452222222222218</v>
      </c>
      <c r="AU113" s="179"/>
      <c r="AV113" s="179"/>
      <c r="AW113" s="169">
        <f t="shared" si="140"/>
        <v>44</v>
      </c>
      <c r="AX113" s="170">
        <v>11</v>
      </c>
      <c r="AY113" s="170">
        <v>11</v>
      </c>
      <c r="AZ113" s="170">
        <v>22</v>
      </c>
      <c r="BA113" s="179"/>
      <c r="BB113" s="179"/>
      <c r="BC113" s="172">
        <f t="shared" ca="1" si="141"/>
        <v>51.604444444444425</v>
      </c>
      <c r="BD113" s="173">
        <f t="shared" ca="1" si="157"/>
        <v>12.901111111111106</v>
      </c>
      <c r="BE113" s="173">
        <f t="shared" ca="1" si="158"/>
        <v>12.901111111111106</v>
      </c>
      <c r="BF113" s="173">
        <f t="shared" ca="1" si="159"/>
        <v>25.802222222222213</v>
      </c>
      <c r="BG113" s="180"/>
      <c r="BH113" s="180"/>
      <c r="BI113" s="166">
        <f t="shared" ca="1" si="144"/>
        <v>55.836427350427357</v>
      </c>
      <c r="BJ113" s="167">
        <f t="shared" ca="1" si="160"/>
        <v>13.959106837606839</v>
      </c>
      <c r="BK113" s="167">
        <f t="shared" ca="1" si="161"/>
        <v>13.959106837606839</v>
      </c>
      <c r="BL113" s="167">
        <f t="shared" ca="1" si="162"/>
        <v>27.918213675213678</v>
      </c>
      <c r="BM113" s="178"/>
      <c r="BN113" s="178"/>
      <c r="BO113" s="169">
        <f t="shared" ca="1" si="147"/>
        <v>60.180051282051281</v>
      </c>
      <c r="BP113" s="170">
        <f ca="1">INDEX('Cap based on indoor unit SZ'!$V$43:$V$58,MATCH(AE113,'Cap based on indoor unit SZ'!$U$43:$U$58))</f>
        <v>14.945025641025641</v>
      </c>
      <c r="BQ113" s="170">
        <f ca="1">INDEX('Cap based on indoor unit SZ'!$V$43:$V$58,MATCH(AF113,'Cap based on indoor unit SZ'!$U$43:$U$58))</f>
        <v>14.945025641025641</v>
      </c>
      <c r="BR113" s="170">
        <f ca="1">INDEX('Cap based on indoor unit SZ'!$V$43:$V$58,MATCH(AG113,'Cap based on indoor unit SZ'!$U$43:$U$58))</f>
        <v>30.290000000000003</v>
      </c>
      <c r="BS113" s="179"/>
      <c r="BT113" s="179"/>
      <c r="BU113" s="175">
        <v>11500</v>
      </c>
      <c r="BV113" s="175">
        <v>11500</v>
      </c>
      <c r="BW113" s="175">
        <v>23000</v>
      </c>
      <c r="BX113" s="179"/>
      <c r="BY113" s="179"/>
      <c r="BZ113" s="172">
        <f t="shared" ca="1" si="148"/>
        <v>55.836427350427357</v>
      </c>
      <c r="CA113" s="173">
        <f t="shared" ca="1" si="163"/>
        <v>13.959106837606839</v>
      </c>
      <c r="CB113" s="173">
        <f t="shared" ca="1" si="164"/>
        <v>13.959106837606839</v>
      </c>
      <c r="CC113" s="173">
        <f t="shared" ca="1" si="165"/>
        <v>27.918213675213678</v>
      </c>
      <c r="CD113" s="180"/>
      <c r="CE113" s="180"/>
      <c r="CF113" s="166">
        <f t="shared" ca="1" si="151"/>
        <v>40.814697456017228</v>
      </c>
      <c r="CG113" s="167">
        <f t="shared" ca="1" si="152"/>
        <v>10.47777868539689</v>
      </c>
      <c r="CH113" s="167">
        <f t="shared" ca="1" si="153"/>
        <v>10.47777868539689</v>
      </c>
      <c r="CI113" s="167">
        <f t="shared" ca="1" si="166"/>
        <v>19.859140085223444</v>
      </c>
      <c r="CJ113" s="178"/>
      <c r="CK113" s="178"/>
    </row>
    <row r="114" spans="2:89">
      <c r="B114" s="182" t="s">
        <v>24</v>
      </c>
      <c r="AC114" s="164" t="s">
        <v>167</v>
      </c>
      <c r="AD114" s="164">
        <v>48</v>
      </c>
      <c r="AE114" s="165">
        <v>12</v>
      </c>
      <c r="AF114" s="165">
        <v>18</v>
      </c>
      <c r="AG114" s="165">
        <v>18</v>
      </c>
      <c r="AH114" s="164"/>
      <c r="AI114" s="164"/>
      <c r="AJ114" s="501"/>
      <c r="AK114" s="166">
        <f t="shared" ca="1" si="136"/>
        <v>51.604444444444425</v>
      </c>
      <c r="AL114" s="167">
        <f t="shared" ca="1" si="154"/>
        <v>12.901111111111106</v>
      </c>
      <c r="AM114" s="167">
        <f t="shared" ca="1" si="155"/>
        <v>19.351666666666659</v>
      </c>
      <c r="AN114" s="167">
        <f t="shared" ca="1" si="156"/>
        <v>19.351666666666659</v>
      </c>
      <c r="AO114" s="178"/>
      <c r="AP114" s="178"/>
      <c r="AQ114" s="169">
        <f t="shared" ca="1" si="139"/>
        <v>52.721111111111114</v>
      </c>
      <c r="AR114" s="170">
        <f ca="1">INDEX('Cap based on indoor unit SZ'!$J$6:$J$21,MATCH(AE114,'Cap based on indoor unit SZ'!$I$6:$I$21))</f>
        <v>13.078888888888891</v>
      </c>
      <c r="AS114" s="170">
        <f ca="1">INDEX('Cap based on indoor unit SZ'!$J$6:$J$21,MATCH(AF114,'Cap based on indoor unit SZ'!$I$6:$I$21))</f>
        <v>19.821111111111112</v>
      </c>
      <c r="AT114" s="170">
        <f ca="1">INDEX('Cap based on indoor unit SZ'!$J$6:$J$21,MATCH(AG114,'Cap based on indoor unit SZ'!$I$6:$I$21))</f>
        <v>19.821111111111112</v>
      </c>
      <c r="AU114" s="179"/>
      <c r="AV114" s="179"/>
      <c r="AW114" s="169">
        <f t="shared" si="140"/>
        <v>44</v>
      </c>
      <c r="AX114" s="170">
        <v>11</v>
      </c>
      <c r="AY114" s="170">
        <v>16.5</v>
      </c>
      <c r="AZ114" s="170">
        <v>16.5</v>
      </c>
      <c r="BA114" s="179"/>
      <c r="BB114" s="179"/>
      <c r="BC114" s="172">
        <f t="shared" ca="1" si="141"/>
        <v>51.604444444444425</v>
      </c>
      <c r="BD114" s="173">
        <f t="shared" ca="1" si="157"/>
        <v>12.901111111111106</v>
      </c>
      <c r="BE114" s="173">
        <f t="shared" ca="1" si="158"/>
        <v>19.351666666666659</v>
      </c>
      <c r="BF114" s="173">
        <f t="shared" ca="1" si="159"/>
        <v>19.351666666666659</v>
      </c>
      <c r="BG114" s="180"/>
      <c r="BH114" s="180"/>
      <c r="BI114" s="166">
        <f t="shared" ca="1" si="144"/>
        <v>55.836427350427357</v>
      </c>
      <c r="BJ114" s="167">
        <f t="shared" ca="1" si="160"/>
        <v>13.959106837606839</v>
      </c>
      <c r="BK114" s="167">
        <f t="shared" ca="1" si="161"/>
        <v>20.938660256410259</v>
      </c>
      <c r="BL114" s="167">
        <f t="shared" ca="1" si="162"/>
        <v>20.938660256410259</v>
      </c>
      <c r="BM114" s="178"/>
      <c r="BN114" s="178"/>
      <c r="BO114" s="169">
        <f t="shared" ca="1" si="147"/>
        <v>64.14266666666667</v>
      </c>
      <c r="BP114" s="170">
        <f ca="1">INDEX('Cap based on indoor unit SZ'!$V$43:$V$58,MATCH(AE114,'Cap based on indoor unit SZ'!$U$43:$U$58))</f>
        <v>14.945025641025641</v>
      </c>
      <c r="BQ114" s="170">
        <f ca="1">INDEX('Cap based on indoor unit SZ'!$V$43:$V$58,MATCH(AF114,'Cap based on indoor unit SZ'!$U$43:$U$58))</f>
        <v>24.598820512820513</v>
      </c>
      <c r="BR114" s="170">
        <f ca="1">INDEX('Cap based on indoor unit SZ'!$V$43:$V$58,MATCH(AG114,'Cap based on indoor unit SZ'!$U$43:$U$58))</f>
        <v>24.598820512820513</v>
      </c>
      <c r="BS114" s="179"/>
      <c r="BT114" s="179"/>
      <c r="BU114" s="175">
        <v>11500</v>
      </c>
      <c r="BV114" s="175">
        <v>17000</v>
      </c>
      <c r="BW114" s="175">
        <v>17000</v>
      </c>
      <c r="BX114" s="179"/>
      <c r="BY114" s="179"/>
      <c r="BZ114" s="172">
        <f t="shared" ca="1" si="148"/>
        <v>55.836427350427357</v>
      </c>
      <c r="CA114" s="173">
        <f t="shared" ca="1" si="163"/>
        <v>13.959106837606839</v>
      </c>
      <c r="CB114" s="173">
        <f t="shared" ca="1" si="164"/>
        <v>20.938660256410259</v>
      </c>
      <c r="CC114" s="173">
        <f t="shared" ca="1" si="165"/>
        <v>20.938660256410259</v>
      </c>
      <c r="CD114" s="180"/>
      <c r="CE114" s="180"/>
      <c r="CF114" s="166">
        <f t="shared" ca="1" si="151"/>
        <v>41.911114741587561</v>
      </c>
      <c r="CG114" s="167">
        <f t="shared" ca="1" si="152"/>
        <v>10.47777868539689</v>
      </c>
      <c r="CH114" s="167">
        <f t="shared" ca="1" si="153"/>
        <v>15.716668028095336</v>
      </c>
      <c r="CI114" s="167">
        <f t="shared" ca="1" si="166"/>
        <v>15.716668028095336</v>
      </c>
      <c r="CJ114" s="178"/>
      <c r="CK114" s="178"/>
    </row>
    <row r="115" spans="2:89">
      <c r="B115" s="503" t="s">
        <v>9</v>
      </c>
      <c r="C115" s="515" t="s">
        <v>0</v>
      </c>
      <c r="D115" s="516"/>
      <c r="E115" s="517"/>
      <c r="F115" s="234"/>
      <c r="G115" s="505" t="s">
        <v>10</v>
      </c>
      <c r="H115" s="506"/>
      <c r="I115" s="506"/>
      <c r="J115" s="506"/>
      <c r="K115" s="506"/>
      <c r="L115" s="506"/>
      <c r="M115" s="506"/>
      <c r="N115" s="506"/>
      <c r="O115" s="506"/>
      <c r="P115" s="506"/>
      <c r="Q115" s="507"/>
      <c r="R115" s="235"/>
      <c r="S115" s="235"/>
      <c r="T115" s="235"/>
      <c r="U115" s="235"/>
      <c r="V115" s="235"/>
      <c r="W115" s="235"/>
      <c r="X115" s="235"/>
      <c r="Y115" s="235"/>
      <c r="AC115" s="164" t="s">
        <v>166</v>
      </c>
      <c r="AD115" s="164">
        <v>48</v>
      </c>
      <c r="AE115" s="165">
        <v>12</v>
      </c>
      <c r="AF115" s="165">
        <v>18</v>
      </c>
      <c r="AG115" s="165">
        <v>24</v>
      </c>
      <c r="AH115" s="164"/>
      <c r="AI115" s="164"/>
      <c r="AJ115" s="501"/>
      <c r="AK115" s="166">
        <f t="shared" ca="1" si="136"/>
        <v>51.604444444444425</v>
      </c>
      <c r="AL115" s="167">
        <f t="shared" ca="1" si="154"/>
        <v>11.46765432098765</v>
      </c>
      <c r="AM115" s="167">
        <f t="shared" ca="1" si="155"/>
        <v>17.201481481481476</v>
      </c>
      <c r="AN115" s="167">
        <f t="shared" ca="1" si="156"/>
        <v>22.935308641975301</v>
      </c>
      <c r="AO115" s="178"/>
      <c r="AP115" s="178"/>
      <c r="AQ115" s="169">
        <f t="shared" ca="1" si="139"/>
        <v>57.352222222222224</v>
      </c>
      <c r="AR115" s="170">
        <f ca="1">INDEX('Cap based on indoor unit SZ'!$J$6:$J$21,MATCH(AE115,'Cap based on indoor unit SZ'!$I$6:$I$21))</f>
        <v>13.078888888888891</v>
      </c>
      <c r="AS115" s="170">
        <f ca="1">INDEX('Cap based on indoor unit SZ'!$J$6:$J$21,MATCH(AF115,'Cap based on indoor unit SZ'!$I$6:$I$21))</f>
        <v>19.821111111111112</v>
      </c>
      <c r="AT115" s="170">
        <f ca="1">INDEX('Cap based on indoor unit SZ'!$J$6:$J$21,MATCH(AG115,'Cap based on indoor unit SZ'!$I$6:$I$21))</f>
        <v>24.452222222222218</v>
      </c>
      <c r="AU115" s="179"/>
      <c r="AV115" s="179"/>
      <c r="AW115" s="169">
        <f t="shared" si="140"/>
        <v>48</v>
      </c>
      <c r="AX115" s="170">
        <v>10.5</v>
      </c>
      <c r="AY115" s="170">
        <v>16</v>
      </c>
      <c r="AZ115" s="170">
        <v>21.5</v>
      </c>
      <c r="BA115" s="179"/>
      <c r="BB115" s="179"/>
      <c r="BC115" s="172">
        <f t="shared" ca="1" si="141"/>
        <v>51.604444444444425</v>
      </c>
      <c r="BD115" s="173">
        <f t="shared" ca="1" si="157"/>
        <v>11.46765432098765</v>
      </c>
      <c r="BE115" s="173">
        <f t="shared" ca="1" si="158"/>
        <v>17.201481481481476</v>
      </c>
      <c r="BF115" s="173">
        <f t="shared" ca="1" si="159"/>
        <v>22.935308641975301</v>
      </c>
      <c r="BG115" s="180"/>
      <c r="BH115" s="180"/>
      <c r="BI115" s="166">
        <f t="shared" ca="1" si="144"/>
        <v>55.836427350427357</v>
      </c>
      <c r="BJ115" s="167">
        <f t="shared" ca="1" si="160"/>
        <v>12.408094966761634</v>
      </c>
      <c r="BK115" s="167">
        <f t="shared" ca="1" si="161"/>
        <v>18.612142450142453</v>
      </c>
      <c r="BL115" s="167">
        <f t="shared" ca="1" si="162"/>
        <v>24.816189933523269</v>
      </c>
      <c r="BM115" s="178"/>
      <c r="BN115" s="178"/>
      <c r="BO115" s="169">
        <f t="shared" ca="1" si="147"/>
        <v>69.833846153846153</v>
      </c>
      <c r="BP115" s="170">
        <f ca="1">INDEX('Cap based on indoor unit SZ'!$V$43:$V$58,MATCH(AE115,'Cap based on indoor unit SZ'!$U$43:$U$58))</f>
        <v>14.945025641025641</v>
      </c>
      <c r="BQ115" s="170">
        <f ca="1">INDEX('Cap based on indoor unit SZ'!$V$43:$V$58,MATCH(AF115,'Cap based on indoor unit SZ'!$U$43:$U$58))</f>
        <v>24.598820512820513</v>
      </c>
      <c r="BR115" s="170">
        <f ca="1">INDEX('Cap based on indoor unit SZ'!$V$43:$V$58,MATCH(AG115,'Cap based on indoor unit SZ'!$U$43:$U$58))</f>
        <v>30.290000000000003</v>
      </c>
      <c r="BS115" s="179"/>
      <c r="BT115" s="179"/>
      <c r="BU115" s="175">
        <v>11000</v>
      </c>
      <c r="BV115" s="175">
        <v>16000</v>
      </c>
      <c r="BW115" s="175">
        <v>22000</v>
      </c>
      <c r="BX115" s="179"/>
      <c r="BY115" s="179"/>
      <c r="BZ115" s="172">
        <f t="shared" ca="1" si="148"/>
        <v>55.836427350427357</v>
      </c>
      <c r="CA115" s="173">
        <f t="shared" ca="1" si="163"/>
        <v>12.408094966761634</v>
      </c>
      <c r="CB115" s="173">
        <f t="shared" ca="1" si="164"/>
        <v>18.612142450142453</v>
      </c>
      <c r="CC115" s="173">
        <f t="shared" ca="1" si="165"/>
        <v>24.816189933523269</v>
      </c>
      <c r="CD115" s="180"/>
      <c r="CE115" s="180"/>
      <c r="CF115" s="166">
        <f t="shared" ca="1" si="151"/>
        <v>41.911114741587561</v>
      </c>
      <c r="CG115" s="167">
        <f t="shared" ca="1" si="152"/>
        <v>9.313581053686125</v>
      </c>
      <c r="CH115" s="167">
        <f t="shared" ca="1" si="153"/>
        <v>13.970371580529187</v>
      </c>
      <c r="CI115" s="167">
        <f t="shared" ca="1" si="166"/>
        <v>18.62716210737225</v>
      </c>
      <c r="CJ115" s="178"/>
      <c r="CK115" s="178"/>
    </row>
    <row r="116" spans="2:89">
      <c r="B116" s="513"/>
      <c r="C116" s="518" t="s">
        <v>25</v>
      </c>
      <c r="D116" s="519"/>
      <c r="R116" s="236"/>
      <c r="S116" s="236"/>
      <c r="T116" s="236"/>
      <c r="U116" s="236"/>
      <c r="V116" s="236"/>
      <c r="W116" s="236"/>
      <c r="X116" s="236"/>
      <c r="Y116" s="236"/>
      <c r="AC116" s="164" t="s">
        <v>165</v>
      </c>
      <c r="AD116" s="164">
        <v>48</v>
      </c>
      <c r="AE116" s="165">
        <v>12</v>
      </c>
      <c r="AF116" s="165">
        <v>24</v>
      </c>
      <c r="AG116" s="165">
        <v>24</v>
      </c>
      <c r="AH116" s="164"/>
      <c r="AI116" s="164"/>
      <c r="AJ116" s="501"/>
      <c r="AK116" s="166">
        <f t="shared" ca="1" si="136"/>
        <v>51.604444444444425</v>
      </c>
      <c r="AL116" s="167">
        <f t="shared" ca="1" si="154"/>
        <v>10.320888888888884</v>
      </c>
      <c r="AM116" s="167">
        <f t="shared" ca="1" si="155"/>
        <v>20.641777777777769</v>
      </c>
      <c r="AN116" s="167">
        <f t="shared" ca="1" si="156"/>
        <v>20.641777777777769</v>
      </c>
      <c r="AO116" s="178"/>
      <c r="AP116" s="178"/>
      <c r="AQ116" s="169">
        <f t="shared" ca="1" si="139"/>
        <v>61.983333333333327</v>
      </c>
      <c r="AR116" s="170">
        <f ca="1">INDEX('Cap based on indoor unit SZ'!$J$6:$J$21,MATCH(AE116,'Cap based on indoor unit SZ'!$I$6:$I$21))</f>
        <v>13.078888888888891</v>
      </c>
      <c r="AS116" s="170">
        <f ca="1">INDEX('Cap based on indoor unit SZ'!$J$6:$J$21,MATCH(AF116,'Cap based on indoor unit SZ'!$I$6:$I$21))</f>
        <v>24.452222222222218</v>
      </c>
      <c r="AT116" s="170">
        <f ca="1">INDEX('Cap based on indoor unit SZ'!$J$6:$J$21,MATCH(AG116,'Cap based on indoor unit SZ'!$I$6:$I$21))</f>
        <v>24.452222222222218</v>
      </c>
      <c r="AU116" s="179"/>
      <c r="AV116" s="179"/>
      <c r="AW116" s="169">
        <f t="shared" si="140"/>
        <v>50</v>
      </c>
      <c r="AX116" s="170">
        <v>10</v>
      </c>
      <c r="AY116" s="170">
        <v>20</v>
      </c>
      <c r="AZ116" s="170">
        <v>20</v>
      </c>
      <c r="BA116" s="179"/>
      <c r="BB116" s="179"/>
      <c r="BC116" s="172">
        <f t="shared" ca="1" si="141"/>
        <v>51.604444444444425</v>
      </c>
      <c r="BD116" s="173">
        <f t="shared" ca="1" si="157"/>
        <v>10.320888888888884</v>
      </c>
      <c r="BE116" s="173">
        <f t="shared" ca="1" si="158"/>
        <v>20.641777777777769</v>
      </c>
      <c r="BF116" s="173">
        <f t="shared" ca="1" si="159"/>
        <v>20.641777777777769</v>
      </c>
      <c r="BG116" s="180"/>
      <c r="BH116" s="180"/>
      <c r="BI116" s="166">
        <f t="shared" ca="1" si="144"/>
        <v>55.83642735042735</v>
      </c>
      <c r="BJ116" s="167">
        <f t="shared" ca="1" si="160"/>
        <v>11.167285470085471</v>
      </c>
      <c r="BK116" s="167">
        <f t="shared" ca="1" si="161"/>
        <v>22.334570940170941</v>
      </c>
      <c r="BL116" s="167">
        <f t="shared" ca="1" si="162"/>
        <v>22.334570940170941</v>
      </c>
      <c r="BM116" s="178"/>
      <c r="BN116" s="178"/>
      <c r="BO116" s="169">
        <f t="shared" ca="1" si="147"/>
        <v>75.52502564102565</v>
      </c>
      <c r="BP116" s="170">
        <f ca="1">INDEX('Cap based on indoor unit SZ'!$V$43:$V$58,MATCH(AE116,'Cap based on indoor unit SZ'!$U$43:$U$58))</f>
        <v>14.945025641025641</v>
      </c>
      <c r="BQ116" s="170">
        <f ca="1">INDEX('Cap based on indoor unit SZ'!$V$43:$V$58,MATCH(AF116,'Cap based on indoor unit SZ'!$U$43:$U$58))</f>
        <v>30.290000000000003</v>
      </c>
      <c r="BR116" s="170">
        <f ca="1">INDEX('Cap based on indoor unit SZ'!$V$43:$V$58,MATCH(AG116,'Cap based on indoor unit SZ'!$U$43:$U$58))</f>
        <v>30.290000000000003</v>
      </c>
      <c r="BS116" s="179"/>
      <c r="BT116" s="179"/>
      <c r="BU116" s="175">
        <v>11000</v>
      </c>
      <c r="BV116" s="175">
        <v>20500</v>
      </c>
      <c r="BW116" s="175">
        <v>20500</v>
      </c>
      <c r="BX116" s="179"/>
      <c r="BY116" s="179"/>
      <c r="BZ116" s="172">
        <f t="shared" ca="1" si="148"/>
        <v>55.83642735042735</v>
      </c>
      <c r="CA116" s="173">
        <f t="shared" ca="1" si="163"/>
        <v>11.167285470085471</v>
      </c>
      <c r="CB116" s="173">
        <f t="shared" ca="1" si="164"/>
        <v>22.334570940170941</v>
      </c>
      <c r="CC116" s="173">
        <f t="shared" ca="1" si="165"/>
        <v>22.334570940170941</v>
      </c>
      <c r="CD116" s="180"/>
      <c r="CE116" s="180"/>
      <c r="CF116" s="166">
        <f t="shared" ca="1" si="151"/>
        <v>41.911114741587561</v>
      </c>
      <c r="CG116" s="167">
        <f t="shared" ca="1" si="152"/>
        <v>8.3822229483175121</v>
      </c>
      <c r="CH116" s="167">
        <f t="shared" ca="1" si="153"/>
        <v>16.764445896635024</v>
      </c>
      <c r="CI116" s="167">
        <f t="shared" ca="1" si="166"/>
        <v>16.764445896635024</v>
      </c>
      <c r="CJ116" s="178"/>
      <c r="CK116" s="178"/>
    </row>
    <row r="117" spans="2:89" ht="14.4" thickBot="1">
      <c r="B117" s="514"/>
      <c r="C117" s="520"/>
      <c r="D117" s="521"/>
      <c r="E117" s="237"/>
      <c r="F117" s="291">
        <v>-22</v>
      </c>
      <c r="G117" s="292">
        <v>-13</v>
      </c>
      <c r="H117" s="292">
        <v>-4</v>
      </c>
      <c r="I117" s="292">
        <v>0</v>
      </c>
      <c r="J117" s="292">
        <v>5</v>
      </c>
      <c r="K117" s="292">
        <v>17</v>
      </c>
      <c r="L117" s="292">
        <v>19.399999999999999</v>
      </c>
      <c r="M117" s="292">
        <v>24.8</v>
      </c>
      <c r="N117" s="292">
        <v>32</v>
      </c>
      <c r="O117" s="292">
        <v>39.200000000000003</v>
      </c>
      <c r="P117" s="291">
        <v>44.6</v>
      </c>
      <c r="Q117" s="291">
        <v>53.6</v>
      </c>
      <c r="R117" s="235"/>
      <c r="S117" s="235"/>
      <c r="T117" s="235"/>
      <c r="U117" s="235"/>
      <c r="V117" s="154" t="s">
        <v>98</v>
      </c>
      <c r="W117" s="154" t="s">
        <v>76</v>
      </c>
      <c r="X117" s="154" t="s">
        <v>99</v>
      </c>
      <c r="Y117" s="235"/>
      <c r="AC117" s="164" t="s">
        <v>164</v>
      </c>
      <c r="AD117" s="164">
        <v>48</v>
      </c>
      <c r="AE117" s="165">
        <v>18</v>
      </c>
      <c r="AF117" s="165">
        <v>18</v>
      </c>
      <c r="AG117" s="165">
        <v>18</v>
      </c>
      <c r="AH117" s="164"/>
      <c r="AI117" s="164"/>
      <c r="AJ117" s="501"/>
      <c r="AK117" s="166">
        <f t="shared" ca="1" si="136"/>
        <v>51.604444444444425</v>
      </c>
      <c r="AL117" s="167">
        <f t="shared" ca="1" si="154"/>
        <v>17.201481481481476</v>
      </c>
      <c r="AM117" s="167">
        <f t="shared" ca="1" si="155"/>
        <v>17.201481481481476</v>
      </c>
      <c r="AN117" s="167">
        <f t="shared" ca="1" si="156"/>
        <v>17.201481481481476</v>
      </c>
      <c r="AO117" s="178"/>
      <c r="AP117" s="178"/>
      <c r="AQ117" s="169">
        <f t="shared" ca="1" si="139"/>
        <v>59.463333333333338</v>
      </c>
      <c r="AR117" s="170">
        <f ca="1">INDEX('Cap based on indoor unit SZ'!$J$6:$J$21,MATCH(AE117,'Cap based on indoor unit SZ'!$I$6:$I$21))</f>
        <v>19.821111111111112</v>
      </c>
      <c r="AS117" s="170">
        <f ca="1">INDEX('Cap based on indoor unit SZ'!$J$6:$J$21,MATCH(AF117,'Cap based on indoor unit SZ'!$I$6:$I$21))</f>
        <v>19.821111111111112</v>
      </c>
      <c r="AT117" s="170">
        <f ca="1">INDEX('Cap based on indoor unit SZ'!$J$6:$J$21,MATCH(AG117,'Cap based on indoor unit SZ'!$I$6:$I$21))</f>
        <v>19.821111111111112</v>
      </c>
      <c r="AU117" s="179"/>
      <c r="AV117" s="179"/>
      <c r="AW117" s="169">
        <f t="shared" si="140"/>
        <v>48</v>
      </c>
      <c r="AX117" s="170">
        <v>16</v>
      </c>
      <c r="AY117" s="170">
        <v>16</v>
      </c>
      <c r="AZ117" s="170">
        <v>16</v>
      </c>
      <c r="BA117" s="179"/>
      <c r="BB117" s="179"/>
      <c r="BC117" s="172">
        <f t="shared" ca="1" si="141"/>
        <v>51.604444444444425</v>
      </c>
      <c r="BD117" s="173">
        <f t="shared" ca="1" si="157"/>
        <v>17.201481481481476</v>
      </c>
      <c r="BE117" s="173">
        <f t="shared" ca="1" si="158"/>
        <v>17.201481481481476</v>
      </c>
      <c r="BF117" s="173">
        <f t="shared" ca="1" si="159"/>
        <v>17.201481481481476</v>
      </c>
      <c r="BG117" s="180"/>
      <c r="BH117" s="180"/>
      <c r="BI117" s="166">
        <f t="shared" ca="1" si="144"/>
        <v>55.836427350427357</v>
      </c>
      <c r="BJ117" s="167">
        <f t="shared" ca="1" si="160"/>
        <v>18.612142450142453</v>
      </c>
      <c r="BK117" s="167">
        <f t="shared" ca="1" si="161"/>
        <v>18.612142450142453</v>
      </c>
      <c r="BL117" s="167">
        <f t="shared" ca="1" si="162"/>
        <v>18.612142450142453</v>
      </c>
      <c r="BM117" s="178"/>
      <c r="BN117" s="178"/>
      <c r="BO117" s="169">
        <f t="shared" ca="1" si="147"/>
        <v>73.796461538461543</v>
      </c>
      <c r="BP117" s="170">
        <f ca="1">INDEX('Cap based on indoor unit SZ'!$V$43:$V$58,MATCH(AE117,'Cap based on indoor unit SZ'!$U$43:$U$58))</f>
        <v>24.598820512820513</v>
      </c>
      <c r="BQ117" s="170">
        <f ca="1">INDEX('Cap based on indoor unit SZ'!$V$43:$V$58,MATCH(AF117,'Cap based on indoor unit SZ'!$U$43:$U$58))</f>
        <v>24.598820512820513</v>
      </c>
      <c r="BR117" s="170">
        <f ca="1">INDEX('Cap based on indoor unit SZ'!$V$43:$V$58,MATCH(AG117,'Cap based on indoor unit SZ'!$U$43:$U$58))</f>
        <v>24.598820512820513</v>
      </c>
      <c r="BS117" s="179"/>
      <c r="BT117" s="179"/>
      <c r="BU117" s="175">
        <v>16500</v>
      </c>
      <c r="BV117" s="175">
        <v>16500</v>
      </c>
      <c r="BW117" s="175">
        <v>16500</v>
      </c>
      <c r="BX117" s="179"/>
      <c r="BY117" s="179"/>
      <c r="BZ117" s="172">
        <f t="shared" ca="1" si="148"/>
        <v>55.836427350427357</v>
      </c>
      <c r="CA117" s="173">
        <f t="shared" ca="1" si="163"/>
        <v>18.612142450142453</v>
      </c>
      <c r="CB117" s="173">
        <f t="shared" ca="1" si="164"/>
        <v>18.612142450142453</v>
      </c>
      <c r="CC117" s="173">
        <f t="shared" ca="1" si="165"/>
        <v>18.612142450142453</v>
      </c>
      <c r="CD117" s="180"/>
      <c r="CE117" s="180"/>
      <c r="CF117" s="166">
        <f t="shared" ca="1" si="151"/>
        <v>41.911114741587561</v>
      </c>
      <c r="CG117" s="167">
        <f t="shared" ca="1" si="152"/>
        <v>13.970371580529187</v>
      </c>
      <c r="CH117" s="167">
        <f t="shared" ca="1" si="153"/>
        <v>13.970371580529187</v>
      </c>
      <c r="CI117" s="167">
        <f t="shared" ca="1" si="166"/>
        <v>13.970371580529187</v>
      </c>
      <c r="CJ117" s="178"/>
      <c r="CK117" s="178"/>
    </row>
    <row r="118" spans="2:89">
      <c r="B118" s="188">
        <v>18</v>
      </c>
      <c r="C118" s="189">
        <v>59</v>
      </c>
      <c r="D118" s="189"/>
      <c r="E118" s="190" t="s">
        <v>15</v>
      </c>
      <c r="F118" s="191">
        <v>7.74</v>
      </c>
      <c r="G118" s="192">
        <v>9.5399999999999991</v>
      </c>
      <c r="H118" s="192">
        <v>11.6</v>
      </c>
      <c r="I118" s="192">
        <v>12.54</v>
      </c>
      <c r="J118" s="192">
        <v>14.4</v>
      </c>
      <c r="K118" s="192">
        <v>19.21</v>
      </c>
      <c r="L118" s="193">
        <v>19.46</v>
      </c>
      <c r="M118" s="193">
        <v>20.59</v>
      </c>
      <c r="N118" s="193">
        <v>20.74</v>
      </c>
      <c r="O118" s="193">
        <v>21.67</v>
      </c>
      <c r="P118" s="193">
        <v>25.82</v>
      </c>
      <c r="Q118" s="194">
        <v>27.35</v>
      </c>
      <c r="R118" s="195">
        <f t="shared" ref="R118:R137" ca="1" si="167">FORECAST(Heat_Design_T,OFFSET(F118:Q118,0,MATCH(Heat_Design_T,$F$117:$Q$117,1)-1,1,2),OFFSET($F$117:$Q$117,0,MATCH(Heat_Design_T,$F$117:$Q$117,1)-1,1,2))</f>
        <v>25.887999999999998</v>
      </c>
      <c r="S118" s="145"/>
      <c r="T118" s="145"/>
      <c r="U118" s="146" t="s">
        <v>96</v>
      </c>
      <c r="V118" s="147">
        <f ca="1">FORECAST(INDOOR_HEAT_DB,OFFSET(R118:R121,MATCH(INDOOR_HEAT_DB,C118:C121,1)-1,0,2),OFFSET(C118:C121,MATCH(INDOOR_HEAT_DB,C118:C121,1)-1,0,2))</f>
        <v>23.941299145299148</v>
      </c>
      <c r="W118" s="145">
        <f>B118</f>
        <v>18</v>
      </c>
      <c r="X118" s="147">
        <f ca="1">IF(OR(INDOOR_HEAT_DB&lt;C118,INDOOR_HEAT_DB&gt;C121),V120,V118)</f>
        <v>23.941299145299148</v>
      </c>
      <c r="Y118" s="238"/>
      <c r="AC118" s="164" t="s">
        <v>163</v>
      </c>
      <c r="AD118" s="164">
        <v>48</v>
      </c>
      <c r="AE118" s="165">
        <v>18</v>
      </c>
      <c r="AF118" s="165">
        <v>18</v>
      </c>
      <c r="AG118" s="165">
        <v>24</v>
      </c>
      <c r="AH118" s="164"/>
      <c r="AI118" s="164"/>
      <c r="AJ118" s="501"/>
      <c r="AK118" s="166">
        <f t="shared" ca="1" si="136"/>
        <v>51.604444444444425</v>
      </c>
      <c r="AL118" s="167">
        <f t="shared" ca="1" si="154"/>
        <v>15.481333333333328</v>
      </c>
      <c r="AM118" s="167">
        <f t="shared" ca="1" si="155"/>
        <v>15.481333333333328</v>
      </c>
      <c r="AN118" s="167">
        <f t="shared" ca="1" si="156"/>
        <v>20.641777777777769</v>
      </c>
      <c r="AO118" s="178"/>
      <c r="AP118" s="178"/>
      <c r="AQ118" s="169">
        <f t="shared" ca="1" si="139"/>
        <v>64.094444444444434</v>
      </c>
      <c r="AR118" s="170">
        <f ca="1">INDEX('Cap based on indoor unit SZ'!$J$6:$J$21,MATCH(AE118,'Cap based on indoor unit SZ'!$I$6:$I$21))</f>
        <v>19.821111111111112</v>
      </c>
      <c r="AS118" s="170">
        <f ca="1">INDEX('Cap based on indoor unit SZ'!$J$6:$J$21,MATCH(AF118,'Cap based on indoor unit SZ'!$I$6:$I$21))</f>
        <v>19.821111111111112</v>
      </c>
      <c r="AT118" s="170">
        <f ca="1">INDEX('Cap based on indoor unit SZ'!$J$6:$J$21,MATCH(AG118,'Cap based on indoor unit SZ'!$I$6:$I$21))</f>
        <v>24.452222222222218</v>
      </c>
      <c r="AU118" s="179"/>
      <c r="AV118" s="179"/>
      <c r="AW118" s="169">
        <f t="shared" si="140"/>
        <v>50</v>
      </c>
      <c r="AX118" s="170">
        <v>15</v>
      </c>
      <c r="AY118" s="170">
        <v>15</v>
      </c>
      <c r="AZ118" s="170">
        <v>20</v>
      </c>
      <c r="BA118" s="179"/>
      <c r="BB118" s="179"/>
      <c r="BC118" s="172">
        <f t="shared" ca="1" si="141"/>
        <v>51.604444444444425</v>
      </c>
      <c r="BD118" s="173">
        <f t="shared" ca="1" si="157"/>
        <v>15.481333333333328</v>
      </c>
      <c r="BE118" s="173">
        <f t="shared" ca="1" si="158"/>
        <v>15.481333333333328</v>
      </c>
      <c r="BF118" s="173">
        <f t="shared" ca="1" si="159"/>
        <v>20.641777777777769</v>
      </c>
      <c r="BG118" s="180"/>
      <c r="BH118" s="180"/>
      <c r="BI118" s="166">
        <f t="shared" ca="1" si="144"/>
        <v>55.836427350427357</v>
      </c>
      <c r="BJ118" s="167">
        <f t="shared" ca="1" si="160"/>
        <v>16.750928205128208</v>
      </c>
      <c r="BK118" s="167">
        <f t="shared" ca="1" si="161"/>
        <v>16.750928205128208</v>
      </c>
      <c r="BL118" s="167">
        <f t="shared" ca="1" si="162"/>
        <v>22.334570940170941</v>
      </c>
      <c r="BM118" s="178"/>
      <c r="BN118" s="178"/>
      <c r="BO118" s="169">
        <f t="shared" ca="1" si="147"/>
        <v>79.487641025641025</v>
      </c>
      <c r="BP118" s="170">
        <f ca="1">INDEX('Cap based on indoor unit SZ'!$V$43:$V$58,MATCH(AE118,'Cap based on indoor unit SZ'!$U$43:$U$58))</f>
        <v>24.598820512820513</v>
      </c>
      <c r="BQ118" s="170">
        <f ca="1">INDEX('Cap based on indoor unit SZ'!$V$43:$V$58,MATCH(AF118,'Cap based on indoor unit SZ'!$U$43:$U$58))</f>
        <v>24.598820512820513</v>
      </c>
      <c r="BR118" s="170">
        <f ca="1">INDEX('Cap based on indoor unit SZ'!$V$43:$V$58,MATCH(AG118,'Cap based on indoor unit SZ'!$U$43:$U$58))</f>
        <v>30.290000000000003</v>
      </c>
      <c r="BS118" s="179"/>
      <c r="BT118" s="179"/>
      <c r="BU118" s="175">
        <v>15500</v>
      </c>
      <c r="BV118" s="175">
        <v>15500</v>
      </c>
      <c r="BW118" s="175">
        <v>21000</v>
      </c>
      <c r="BX118" s="179"/>
      <c r="BY118" s="179"/>
      <c r="BZ118" s="172">
        <f t="shared" ca="1" si="148"/>
        <v>55.836427350427357</v>
      </c>
      <c r="CA118" s="173">
        <f t="shared" ca="1" si="163"/>
        <v>16.750928205128208</v>
      </c>
      <c r="CB118" s="173">
        <f t="shared" ca="1" si="164"/>
        <v>16.750928205128208</v>
      </c>
      <c r="CC118" s="173">
        <f t="shared" ca="1" si="165"/>
        <v>22.334570940170941</v>
      </c>
      <c r="CD118" s="180"/>
      <c r="CE118" s="180"/>
      <c r="CF118" s="166">
        <f t="shared" ca="1" si="151"/>
        <v>41.911114741587568</v>
      </c>
      <c r="CG118" s="167">
        <f t="shared" ca="1" si="152"/>
        <v>12.57333442247627</v>
      </c>
      <c r="CH118" s="167">
        <f t="shared" ca="1" si="153"/>
        <v>12.57333442247627</v>
      </c>
      <c r="CI118" s="167">
        <f t="shared" ca="1" si="166"/>
        <v>16.764445896635024</v>
      </c>
      <c r="CJ118" s="178"/>
      <c r="CK118" s="178"/>
    </row>
    <row r="119" spans="2:89">
      <c r="B119" s="196">
        <v>18</v>
      </c>
      <c r="C119" s="197">
        <v>64.400000000000006</v>
      </c>
      <c r="D119" s="197"/>
      <c r="E119" s="198" t="s">
        <v>15</v>
      </c>
      <c r="F119" s="199">
        <v>7.63</v>
      </c>
      <c r="G119" s="200">
        <v>9.4</v>
      </c>
      <c r="H119" s="200">
        <v>11.43</v>
      </c>
      <c r="I119" s="200">
        <v>12.35</v>
      </c>
      <c r="J119" s="200">
        <v>14.01</v>
      </c>
      <c r="K119" s="200">
        <v>18.920000000000002</v>
      </c>
      <c r="L119" s="201">
        <v>19.170000000000002</v>
      </c>
      <c r="M119" s="201">
        <v>20.28</v>
      </c>
      <c r="N119" s="201">
        <v>20.43</v>
      </c>
      <c r="O119" s="201">
        <v>21.34</v>
      </c>
      <c r="P119" s="201">
        <v>25.43</v>
      </c>
      <c r="Q119" s="202">
        <v>26.94</v>
      </c>
      <c r="R119" s="203">
        <f t="shared" ca="1" si="167"/>
        <v>25.497111111111114</v>
      </c>
      <c r="S119" s="145"/>
      <c r="T119" s="145"/>
      <c r="U119" s="146"/>
      <c r="V119" s="148"/>
      <c r="W119" s="145"/>
      <c r="X119" s="152"/>
      <c r="Y119" s="238"/>
      <c r="AC119" s="164" t="s">
        <v>162</v>
      </c>
      <c r="AD119" s="164">
        <v>48</v>
      </c>
      <c r="AE119" s="165">
        <v>9</v>
      </c>
      <c r="AF119" s="165">
        <v>9</v>
      </c>
      <c r="AG119" s="165">
        <v>9</v>
      </c>
      <c r="AH119" s="165">
        <v>9</v>
      </c>
      <c r="AI119" s="165"/>
      <c r="AJ119" s="500">
        <v>4</v>
      </c>
      <c r="AK119" s="166">
        <f t="shared" ca="1" si="136"/>
        <v>41.852444444444444</v>
      </c>
      <c r="AL119" s="167">
        <f t="shared" ref="AL119:AL136" ca="1" si="168">IF((INDEX($AA$4:$AA$7,MATCH(INDOOR_1,$Z$4:$Z$7))*(INDEX($X$27:$X$46,MATCH($AD119,$W$27:$W$46,1))/(INDEX($AA$4:$AA$7,MATCH(INDOOR_1,$Z$4:$Z$7))+INDEX($AA$4:$AA$7,MATCH(INDOOR_2,$Z$4:$Z$7))+INDEX($AA$4:$AA$7,MATCH(INDOOR_3,$Z$4:$Z$7))+INDEX($AA$4:$AA$7,MATCH(INDOOR_4,$Z$4:$Z$7)))))
&gt;AR119,AR119,
(INDEX($AA$4:$AA$7,MATCH(INDOOR_1,$Z$4:$Z$7))*(INDEX($X$27:$X$46,MATCH($AD119,$W$27:$W$46,1))/(INDEX($AA$4:$AA$7,MATCH(INDOOR_1,$Z$4:$Z$7))+INDEX($AA$4:$AA$7,MATCH(INDOOR_2,$Z$4:$Z$7))+INDEX($AA$4:$AA$7,MATCH(INDOOR_3,$Z$4:$Z$7))+INDEX($AA$4:$AA$7,MATCH(INDOOR_4,$Z$4:$Z$7))))))</f>
        <v>10.463111111111111</v>
      </c>
      <c r="AM119" s="167">
        <f t="shared" ref="AM119:AM136" ca="1" si="169">IF((INDEX($AA$4:$AA$7,MATCH(INDOOR_2,$Z$4:$Z$7))*(INDEX($X$27:$X$46,MATCH($AD119,$W$27:$W$46,1))/(INDEX($AA$4:$AA$7,MATCH(INDOOR_1,$Z$4:$Z$7))+INDEX($AA$4:$AA$7,MATCH(INDOOR_2,$Z$4:$Z$7))+INDEX($AA$4:$AA$7,MATCH(INDOOR_3,$Z$4:$Z$7))+INDEX($AA$4:$AA$7,MATCH(INDOOR_4,$Z$4:$Z$7)))))
&gt;AS119,AS119,
(INDEX($AA$4:$AA$7,MATCH(INDOOR_2,$Z$4:$Z$7))*(INDEX($X$27:$X$46,MATCH($AD119,$W$27:$W$46,1))/(INDEX($AA$4:$AA$7,MATCH(INDOOR_1,$Z$4:$Z$7))+INDEX($AA$4:$AA$7,MATCH(INDOOR_2,$Z$4:$Z$7))+INDEX($AA$4:$AA$7,MATCH(INDOOR_3,$Z$4:$Z$7))+INDEX($AA$4:$AA$7,MATCH(INDOOR_4,$Z$4:$Z$7))))))</f>
        <v>10.463111111111111</v>
      </c>
      <c r="AN119" s="167">
        <f t="shared" ref="AN119:AN136" ca="1" si="170">IF((INDEX($AA$4:$AA$7,MATCH(INDOOR_3,$Z$4:$Z$7))*(INDEX($X$27:$X$46,MATCH($AD119,$W$27:$W$46,1))/(INDEX($AA$4:$AA$7,MATCH(INDOOR_1,$Z$4:$Z$7))+INDEX($AA$4:$AA$7,MATCH(INDOOR_2,$Z$4:$Z$7))+INDEX($AA$4:$AA$7,MATCH(INDOOR_3,$Z$4:$Z$7))+INDEX($AA$4:$AA$7,MATCH(INDOOR_4,$Z$4:$Z$7)))))
&gt;AT119,AT119,
(INDEX($AA$4:$AA$7,MATCH(INDOOR_3,$Z$4:$Z$7))*(INDEX($X$27:$X$46,MATCH($AD119,$W$27:$W$46,1))/(INDEX($AA$4:$AA$7,MATCH(INDOOR_1,$Z$4:$Z$7))+INDEX($AA$4:$AA$7,MATCH(INDOOR_2,$Z$4:$Z$7))+INDEX($AA$4:$AA$7,MATCH(INDOOR_3,$Z$4:$Z$7))+INDEX($AA$4:$AA$7,MATCH(INDOOR_4,$Z$4:$Z$7))))))</f>
        <v>10.463111111111111</v>
      </c>
      <c r="AO119" s="167">
        <f t="shared" ref="AO119:AO136" ca="1" si="171">IF((INDEX($AA$4:$AA$7,MATCH(INDOOR_4,$Z$4:$Z$7))*(INDEX($X$27:$X$46,MATCH($AD119,$W$27:$W$46,1))/(INDEX($AA$4:$AA$7,MATCH(INDOOR_1,$Z$4:$Z$7))+INDEX($AA$4:$AA$7,MATCH(INDOOR_2,$Z$4:$Z$7))+INDEX($AA$4:$AA$7,MATCH(INDOOR_3,$Z$4:$Z$7))+INDEX($AA$4:$AA$7,MATCH(INDOOR_4,$Z$4:$Z$7)))))
&gt;AU119,AU119,
(INDEX($AA$4:$AA$7,MATCH(INDOOR_4,$Z$4:$Z$7))*(INDEX($X$27:$X$46,MATCH($AD119,$W$27:$W$46,1))/(INDEX($AA$4:$AA$7,MATCH(INDOOR_1,$Z$4:$Z$7))+INDEX($AA$4:$AA$7,MATCH(INDOOR_2,$Z$4:$Z$7))+INDEX($AA$4:$AA$7,MATCH(INDOOR_3,$Z$4:$Z$7))+INDEX($AA$4:$AA$7,MATCH(INDOOR_4,$Z$4:$Z$7))))))</f>
        <v>10.463111111111111</v>
      </c>
      <c r="AP119" s="178"/>
      <c r="AQ119" s="169">
        <f t="shared" ca="1" si="139"/>
        <v>41.852444444444444</v>
      </c>
      <c r="AR119" s="170">
        <f ca="1">INDEX('Cap based on indoor unit SZ'!$J$6:$J$21,MATCH(AE119,'Cap based on indoor unit SZ'!$I$6:$I$21))</f>
        <v>10.463111111111111</v>
      </c>
      <c r="AS119" s="170">
        <f ca="1">INDEX('Cap based on indoor unit SZ'!$J$6:$J$21,MATCH(AF119,'Cap based on indoor unit SZ'!$I$6:$I$21))</f>
        <v>10.463111111111111</v>
      </c>
      <c r="AT119" s="170">
        <f ca="1">INDEX('Cap based on indoor unit SZ'!$J$6:$J$21,MATCH(AG119,'Cap based on indoor unit SZ'!$I$6:$I$21))</f>
        <v>10.463111111111111</v>
      </c>
      <c r="AU119" s="170">
        <f ca="1">INDEX('Cap based on indoor unit SZ'!$J$6:$J$21,MATCH(AH119,'Cap based on indoor unit SZ'!$I$6:$I$21))</f>
        <v>10.463111111111111</v>
      </c>
      <c r="AV119" s="179"/>
      <c r="AW119" s="169">
        <f t="shared" si="140"/>
        <v>37</v>
      </c>
      <c r="AX119" s="170">
        <v>9.25</v>
      </c>
      <c r="AY119" s="170">
        <v>9.25</v>
      </c>
      <c r="AZ119" s="170">
        <v>9.25</v>
      </c>
      <c r="BA119" s="170">
        <v>9.25</v>
      </c>
      <c r="BB119" s="179"/>
      <c r="BC119" s="172">
        <f t="shared" ca="1" si="141"/>
        <v>51.604444444444425</v>
      </c>
      <c r="BD119" s="173">
        <f t="shared" ref="BD119:BD136" ca="1" si="172">(INDEX($AA$4:$AA$7,MATCH(AE119,$Z$4:$Z$7))*(INDEX($X$27:$X$46,MATCH($AD119,$W$27:$W$46,1))/(INDEX($AA$4:$AA$7,MATCH($AE119,$Z$4:$Z$7))+INDEX($AA$4:$AA$7,MATCH($AF119,$Z$4:$Z$7))+INDEX($AA$4:$AA$7,MATCH($AG119,$Z$4:$Z$7))+INDEX($AA$4:$AA$7,MATCH($AH119,$Z$4:$Z$7)))))</f>
        <v>12.901111111111106</v>
      </c>
      <c r="BE119" s="173">
        <f t="shared" ref="BE119:BE136" ca="1" si="173">(INDEX($AA$4:$AA$7,MATCH(AF119,$Z$4:$Z$7))*(INDEX($X$27:$X$46,MATCH($AD119,$W$27:$W$46,1))/(INDEX($AA$4:$AA$7,MATCH($AE119,$Z$4:$Z$7))+INDEX($AA$4:$AA$7,MATCH($AF119,$Z$4:$Z$7))+INDEX($AA$4:$AA$7,MATCH($AG119,$Z$4:$Z$7))+INDEX($AA$4:$AA$7,MATCH($AH119,$Z$4:$Z$7)))))</f>
        <v>12.901111111111106</v>
      </c>
      <c r="BF119" s="173">
        <f t="shared" ref="BF119:BF136" ca="1" si="174">(INDEX($AA$4:$AA$7,MATCH(AG119,$Z$4:$Z$7))*(INDEX($X$27:$X$46,MATCH($AD119,$W$27:$W$46,1))/(INDEX($AA$4:$AA$7,MATCH($AE119,$Z$4:$Z$7))+INDEX($AA$4:$AA$7,MATCH($AF119,$Z$4:$Z$7))+INDEX($AA$4:$AA$7,MATCH($AG119,$Z$4:$Z$7))+INDEX($AA$4:$AA$7,MATCH($AH119,$Z$4:$Z$7)))))</f>
        <v>12.901111111111106</v>
      </c>
      <c r="BG119" s="173">
        <f t="shared" ref="BG119:BG136" ca="1" si="175">(INDEX($AA$4:$AA$7,MATCH(AH119,$Z$4:$Z$7))*(INDEX($X$27:$X$46,MATCH($AD119,$W$27:$W$46,1))/(INDEX($AA$4:$AA$7,MATCH($AE119,$Z$4:$Z$7))+INDEX($AA$4:$AA$7,MATCH($AF119,$Z$4:$Z$7))+INDEX($AA$4:$AA$7,MATCH($AG119,$Z$4:$Z$7))+INDEX($AA$4:$AA$7,MATCH($AH119,$Z$4:$Z$7)))))</f>
        <v>12.901111111111106</v>
      </c>
      <c r="BH119" s="180"/>
      <c r="BI119" s="166">
        <f t="shared" ca="1" si="144"/>
        <v>47.824082051282048</v>
      </c>
      <c r="BJ119" s="167">
        <f t="shared" ref="BJ119:BJ136" ca="1" si="176">IF((INDEX($AA$4:$AA$7,MATCH(INDOOR_1,$Z$4:$Z$7))*(INDEX($X$118:$X$137,MATCH($AD119,$W$118:$W$137,1))/(INDEX($AA$4:$AA$7,MATCH(INDOOR_1,$Z$4:$Z$7))+INDEX($AA$4:$AA$7,MATCH(INDOOR_2,$Z$4:$Z$7))+INDEX($AA$4:$AA$7,MATCH(INDOOR_3,$Z$4:$Z$7))+INDEX($AA$4:$AA$7,MATCH(INDOOR_4,$Z$4:$Z$7)))))
&gt;BP119,BP119,
(INDEX($AA$4:$AA$7,MATCH(INDOOR_1,$Z$4:$Z$7))*(INDEX($X$118:$X$137,MATCH($AD119,$W$118:$W$137,1))/(INDEX($AA$4:$AA$7,MATCH(INDOOR_1,$Z$4:$Z$7))+INDEX($AA$4:$AA$7,MATCH(INDOOR_2,$Z$4:$Z$7))+INDEX($AA$4:$AA$7,MATCH(INDOOR_3,$Z$4:$Z$7))+INDEX($AA$4:$AA$7,MATCH(INDOOR_4,$Z$4:$Z$7))))))</f>
        <v>11.956020512820512</v>
      </c>
      <c r="BK119" s="167">
        <f t="shared" ref="BK119:BK136" ca="1" si="177">IF((INDEX($AA$4:$AA$7,MATCH(INDOOR_2,$Z$4:$Z$7))*(INDEX($X$118:$X$137,MATCH($AD119,$W$118:$W$137,1))/(INDEX($AA$4:$AA$7,MATCH(INDOOR_1,$Z$4:$Z$7))+INDEX($AA$4:$AA$7,MATCH(INDOOR_2,$Z$4:$Z$7))+INDEX($AA$4:$AA$7,MATCH(INDOOR_3,$Z$4:$Z$7))+INDEX($AA$4:$AA$7,MATCH(INDOOR_4,$Z$4:$Z$7)))))
&gt;BQ119,BQ119,
(INDEX($AA$4:$AA$7,MATCH(INDOOR_2,$Z$4:$Z$7))*(INDEX($X$118:$X$137,MATCH($AD119,$W$118:$W$137,1))/(INDEX($AA$4:$AA$7,MATCH(INDOOR_1,$Z$4:$Z$7))+INDEX($AA$4:$AA$7,MATCH(INDOOR_2,$Z$4:$Z$7))+INDEX($AA$4:$AA$7,MATCH(INDOOR_3,$Z$4:$Z$7))+INDEX($AA$4:$AA$7,MATCH(INDOOR_4,$Z$4:$Z$7))))))</f>
        <v>11.956020512820512</v>
      </c>
      <c r="BL119" s="167">
        <f t="shared" ref="BL119:BL136" ca="1" si="178">IF((INDEX($AA$4:$AA$7,MATCH(INDOOR_3,$Z$4:$Z$7))*(INDEX($X$118:$X$137,MATCH($AD119,$W$118:$W$137,1))/(INDEX($AA$4:$AA$7,MATCH(INDOOR_1,$Z$4:$Z$7))+INDEX($AA$4:$AA$7,MATCH(INDOOR_2,$Z$4:$Z$7))+INDEX($AA$4:$AA$7,MATCH(INDOOR_3,$Z$4:$Z$7))+INDEX($AA$4:$AA$7,MATCH(INDOOR_4,$Z$4:$Z$7)))))
&gt;BR119,BR119,
(INDEX($AA$4:$AA$7,MATCH(INDOOR_3,$Z$4:$Z$7))*(INDEX($X$118:$X$137,MATCH($AD119,$W$118:$W$137,1))/(INDEX($AA$4:$AA$7,MATCH(INDOOR_1,$Z$4:$Z$7))+INDEX($AA$4:$AA$7,MATCH(INDOOR_2,$Z$4:$Z$7))+INDEX($AA$4:$AA$7,MATCH(INDOOR_3,$Z$4:$Z$7))+INDEX($AA$4:$AA$7,MATCH(INDOOR_4,$Z$4:$Z$7))))))</f>
        <v>11.956020512820512</v>
      </c>
      <c r="BM119" s="167">
        <f t="shared" ref="BM119:BM136" ca="1" si="179">IF((INDEX($AA$4:$AA$7,MATCH(INDOOR_4,$Z$4:$Z$7))*(INDEX($X$118:$X$137,MATCH($AD119,$W$118:$W$137,1))/(INDEX($AA$4:$AA$7,MATCH(INDOOR_1,$Z$4:$Z$7))+INDEX($AA$4:$AA$7,MATCH(INDOOR_2,$Z$4:$Z$7))+INDEX($AA$4:$AA$7,MATCH(INDOOR_3,$Z$4:$Z$7))+INDEX($AA$4:$AA$7,MATCH(INDOOR_4,$Z$4:$Z$7)))))
&gt;BS119,BS119,
(INDEX($AA$4:$AA$7,MATCH(INDOOR_4,$Z$4:$Z$7))*(INDEX($X$118:$X$137,MATCH($AD119,$W$118:$W$137,1))/(INDEX($AA$4:$AA$7,MATCH(INDOOR_1,$Z$4:$Z$7))+INDEX($AA$4:$AA$7,MATCH(INDOOR_2,$Z$4:$Z$7))+INDEX($AA$4:$AA$7,MATCH(INDOOR_3,$Z$4:$Z$7))+INDEX($AA$4:$AA$7,MATCH(INDOOR_4,$Z$4:$Z$7))))))</f>
        <v>11.956020512820512</v>
      </c>
      <c r="BN119" s="178"/>
      <c r="BO119" s="169">
        <f t="shared" ca="1" si="147"/>
        <v>47.824082051282048</v>
      </c>
      <c r="BP119" s="170">
        <f ca="1">INDEX('Cap based on indoor unit SZ'!$V$43:$V$58,MATCH(AE119,'Cap based on indoor unit SZ'!$U$43:$U$58))</f>
        <v>11.956020512820512</v>
      </c>
      <c r="BQ119" s="170">
        <f ca="1">INDEX('Cap based on indoor unit SZ'!$V$43:$V$58,MATCH(AF119,'Cap based on indoor unit SZ'!$U$43:$U$58))</f>
        <v>11.956020512820512</v>
      </c>
      <c r="BR119" s="170">
        <f ca="1">INDEX('Cap based on indoor unit SZ'!$V$43:$V$58,MATCH(AG119,'Cap based on indoor unit SZ'!$U$43:$U$58))</f>
        <v>11.956020512820512</v>
      </c>
      <c r="BS119" s="170">
        <f ca="1">INDEX('Cap based on indoor unit SZ'!$V$43:$V$58,MATCH(AH119,'Cap based on indoor unit SZ'!$U$43:$U$58))</f>
        <v>11.956020512820512</v>
      </c>
      <c r="BT119" s="179"/>
      <c r="BU119" s="175">
        <v>9500</v>
      </c>
      <c r="BV119" s="175">
        <v>9500</v>
      </c>
      <c r="BW119" s="175">
        <v>9500</v>
      </c>
      <c r="BX119" s="175">
        <v>9500</v>
      </c>
      <c r="BY119" s="179"/>
      <c r="BZ119" s="172">
        <f t="shared" ca="1" si="148"/>
        <v>55.836427350427357</v>
      </c>
      <c r="CA119" s="173">
        <f t="shared" ref="CA119:CA136" ca="1" si="180">(INDEX($AA$4:$AA$7,MATCH(INDOOR_1,$Z$4:$Z$7))*(INDEX($X$118:$X$137,MATCH($AD119,$W$118:$W$137,1))/(INDEX($AA$4:$AA$7,MATCH(INDOOR_1,$Z$4:$Z$7))+INDEX($AA$4:$AA$7,MATCH(INDOOR_2,$Z$4:$Z$7))+INDEX($AA$4:$AA$7,MATCH(INDOOR_3,$Z$4:$Z$7))+INDEX($AA$4:$AA$7,MATCH(INDOOR_4,$Z$4:$Z$7)))))</f>
        <v>13.959106837606839</v>
      </c>
      <c r="CB119" s="173">
        <f t="shared" ref="CB119:CB136" ca="1" si="181">(INDEX($AA$4:$AA$7,MATCH(INDOOR_2,$Z$4:$Z$7))*(INDEX($X$118:$X$137,MATCH($AD119,$W$118:$W$137,1))/(INDEX($AA$4:$AA$7,MATCH(INDOOR_1,$Z$4:$Z$7))+INDEX($AA$4:$AA$7,MATCH(INDOOR_2,$Z$4:$Z$7))+INDEX($AA$4:$AA$7,MATCH(INDOOR_3,$Z$4:$Z$7))+INDEX($AA$4:$AA$7,MATCH(INDOOR_4,$Z$4:$Z$7)))))</f>
        <v>13.959106837606839</v>
      </c>
      <c r="CC119" s="173">
        <f t="shared" ref="CC119:CC136" ca="1" si="182">(INDEX($AA$4:$AA$7,MATCH(INDOOR_3,$Z$4:$Z$7))*(INDEX($X$118:$X$137,MATCH($AD119,$W$118:$W$137,1))/(INDEX($AA$4:$AA$7,MATCH(INDOOR_1,$Z$4:$Z$7))+INDEX($AA$4:$AA$7,MATCH(INDOOR_2,$Z$4:$Z$7))+INDEX($AA$4:$AA$7,MATCH(INDOOR_3,$Z$4:$Z$7))+INDEX($AA$4:$AA$7,MATCH(INDOOR_4,$Z$4:$Z$7)))))</f>
        <v>13.959106837606839</v>
      </c>
      <c r="CD119" s="173">
        <f t="shared" ref="CD119:CD136" ca="1" si="183">(INDEX($AA$4:$AA$7,MATCH(INDOOR_4,$Z$4:$Z$7))*(INDEX($X$118:$X$137,MATCH($AD119,$W$118:$W$137,1))/(INDEX($AA$4:$AA$7,MATCH(INDOOR_1,$Z$4:$Z$7))+INDEX($AA$4:$AA$7,MATCH(INDOOR_2,$Z$4:$Z$7))+INDEX($AA$4:$AA$7,MATCH(INDOOR_3,$Z$4:$Z$7))+INDEX($AA$4:$AA$7,MATCH(INDOOR_4,$Z$4:$Z$7)))))</f>
        <v>13.959106837606839</v>
      </c>
      <c r="CE119" s="180"/>
      <c r="CF119" s="166">
        <f t="shared" ca="1" si="151"/>
        <v>33.990921135008342</v>
      </c>
      <c r="CG119" s="167">
        <f t="shared" ca="1" si="152"/>
        <v>8.4977302837520856</v>
      </c>
      <c r="CH119" s="167">
        <f t="shared" ca="1" si="153"/>
        <v>8.4977302837520856</v>
      </c>
      <c r="CI119" s="167">
        <f t="shared" ca="1" si="166"/>
        <v>8.4977302837520856</v>
      </c>
      <c r="CJ119" s="167">
        <f t="shared" ref="CJ119:CJ148" ca="1" si="184">AO119*(INDEX($X$67:$X$86,MATCH($AD119,$W$67:$W$86,1)))</f>
        <v>8.4977302837520856</v>
      </c>
      <c r="CK119" s="178"/>
    </row>
    <row r="120" spans="2:89">
      <c r="B120" s="196">
        <v>18</v>
      </c>
      <c r="C120" s="197">
        <v>69</v>
      </c>
      <c r="D120" s="197"/>
      <c r="E120" s="198" t="s">
        <v>15</v>
      </c>
      <c r="F120" s="199">
        <v>5.52</v>
      </c>
      <c r="G120" s="200">
        <v>6.54</v>
      </c>
      <c r="H120" s="200">
        <v>7.69</v>
      </c>
      <c r="I120" s="200">
        <v>8.14</v>
      </c>
      <c r="J120" s="200">
        <v>13.99</v>
      </c>
      <c r="K120" s="200">
        <v>15.02</v>
      </c>
      <c r="L120" s="201">
        <v>15.94</v>
      </c>
      <c r="M120" s="201">
        <v>17.13</v>
      </c>
      <c r="N120" s="201">
        <v>18.93</v>
      </c>
      <c r="O120" s="201">
        <v>19.66</v>
      </c>
      <c r="P120" s="201">
        <v>23.96</v>
      </c>
      <c r="Q120" s="202">
        <v>26.67</v>
      </c>
      <c r="R120" s="203">
        <f t="shared" ca="1" si="167"/>
        <v>24.080444444444446</v>
      </c>
      <c r="S120" s="145"/>
      <c r="T120" s="145"/>
      <c r="U120" s="146" t="s">
        <v>97</v>
      </c>
      <c r="V120" s="147">
        <f ca="1">TREND(R118:R121,C118:C121,INDOOR_HEAT_DB)</f>
        <v>24.058652983270484</v>
      </c>
      <c r="W120" s="145"/>
      <c r="X120" s="152"/>
      <c r="Y120" s="239"/>
      <c r="AC120" s="164" t="s">
        <v>161</v>
      </c>
      <c r="AD120" s="164">
        <v>48</v>
      </c>
      <c r="AE120" s="165">
        <v>9</v>
      </c>
      <c r="AF120" s="165">
        <v>9</v>
      </c>
      <c r="AG120" s="165">
        <v>9</v>
      </c>
      <c r="AH120" s="165">
        <v>12</v>
      </c>
      <c r="AI120" s="165"/>
      <c r="AJ120" s="501"/>
      <c r="AK120" s="166">
        <f t="shared" ca="1" si="136"/>
        <v>44.468222222222224</v>
      </c>
      <c r="AL120" s="167">
        <f t="shared" ca="1" si="168"/>
        <v>10.463111111111111</v>
      </c>
      <c r="AM120" s="167">
        <f t="shared" ca="1" si="169"/>
        <v>10.463111111111111</v>
      </c>
      <c r="AN120" s="167">
        <f t="shared" ca="1" si="170"/>
        <v>10.463111111111111</v>
      </c>
      <c r="AO120" s="167">
        <f t="shared" ca="1" si="171"/>
        <v>13.078888888888891</v>
      </c>
      <c r="AP120" s="178"/>
      <c r="AQ120" s="169">
        <f t="shared" ca="1" si="139"/>
        <v>44.468222222222224</v>
      </c>
      <c r="AR120" s="170">
        <f ca="1">INDEX('Cap based on indoor unit SZ'!$J$6:$J$21,MATCH(AE120,'Cap based on indoor unit SZ'!$I$6:$I$21))</f>
        <v>10.463111111111111</v>
      </c>
      <c r="AS120" s="170">
        <f ca="1">INDEX('Cap based on indoor unit SZ'!$J$6:$J$21,MATCH(AF120,'Cap based on indoor unit SZ'!$I$6:$I$21))</f>
        <v>10.463111111111111</v>
      </c>
      <c r="AT120" s="170">
        <f ca="1">INDEX('Cap based on indoor unit SZ'!$J$6:$J$21,MATCH(AG120,'Cap based on indoor unit SZ'!$I$6:$I$21))</f>
        <v>10.463111111111111</v>
      </c>
      <c r="AU120" s="170">
        <f ca="1">INDEX('Cap based on indoor unit SZ'!$J$6:$J$21,MATCH(AH120,'Cap based on indoor unit SZ'!$I$6:$I$21))</f>
        <v>13.078888888888891</v>
      </c>
      <c r="AV120" s="179"/>
      <c r="AW120" s="169">
        <f t="shared" si="140"/>
        <v>39</v>
      </c>
      <c r="AX120" s="170">
        <v>9</v>
      </c>
      <c r="AY120" s="170">
        <v>9</v>
      </c>
      <c r="AZ120" s="170">
        <v>9</v>
      </c>
      <c r="BA120" s="170">
        <v>12</v>
      </c>
      <c r="BB120" s="179"/>
      <c r="BC120" s="172">
        <f t="shared" ca="1" si="141"/>
        <v>51.604444444444425</v>
      </c>
      <c r="BD120" s="173">
        <f t="shared" ca="1" si="172"/>
        <v>11.908717948717944</v>
      </c>
      <c r="BE120" s="173">
        <f t="shared" ca="1" si="173"/>
        <v>11.908717948717944</v>
      </c>
      <c r="BF120" s="173">
        <f t="shared" ca="1" si="174"/>
        <v>11.908717948717944</v>
      </c>
      <c r="BG120" s="173">
        <f t="shared" ca="1" si="175"/>
        <v>15.878290598290592</v>
      </c>
      <c r="BH120" s="180"/>
      <c r="BI120" s="166">
        <f t="shared" ca="1" si="144"/>
        <v>50.813087179487169</v>
      </c>
      <c r="BJ120" s="167">
        <f t="shared" ca="1" si="176"/>
        <v>11.956020512820512</v>
      </c>
      <c r="BK120" s="167">
        <f t="shared" ca="1" si="177"/>
        <v>11.956020512820512</v>
      </c>
      <c r="BL120" s="167">
        <f t="shared" ca="1" si="178"/>
        <v>11.956020512820512</v>
      </c>
      <c r="BM120" s="167">
        <f t="shared" ca="1" si="179"/>
        <v>14.945025641025641</v>
      </c>
      <c r="BN120" s="178"/>
      <c r="BO120" s="169">
        <f t="shared" ca="1" si="147"/>
        <v>50.813087179487169</v>
      </c>
      <c r="BP120" s="170">
        <f ca="1">INDEX('Cap based on indoor unit SZ'!$V$43:$V$58,MATCH(AE120,'Cap based on indoor unit SZ'!$U$43:$U$58))</f>
        <v>11.956020512820512</v>
      </c>
      <c r="BQ120" s="170">
        <f ca="1">INDEX('Cap based on indoor unit SZ'!$V$43:$V$58,MATCH(AF120,'Cap based on indoor unit SZ'!$U$43:$U$58))</f>
        <v>11.956020512820512</v>
      </c>
      <c r="BR120" s="170">
        <f ca="1">INDEX('Cap based on indoor unit SZ'!$V$43:$V$58,MATCH(AG120,'Cap based on indoor unit SZ'!$U$43:$U$58))</f>
        <v>11.956020512820512</v>
      </c>
      <c r="BS120" s="170">
        <f ca="1">INDEX('Cap based on indoor unit SZ'!$V$43:$V$58,MATCH(AH120,'Cap based on indoor unit SZ'!$U$43:$U$58))</f>
        <v>14.945025641025641</v>
      </c>
      <c r="BT120" s="179"/>
      <c r="BU120" s="175">
        <v>9500</v>
      </c>
      <c r="BV120" s="175">
        <v>9500</v>
      </c>
      <c r="BW120" s="175">
        <v>9500</v>
      </c>
      <c r="BX120" s="175">
        <v>12500</v>
      </c>
      <c r="BY120" s="179"/>
      <c r="BZ120" s="172">
        <f t="shared" ca="1" si="148"/>
        <v>55.836427350427364</v>
      </c>
      <c r="CA120" s="173">
        <f t="shared" ca="1" si="180"/>
        <v>12.885329388560161</v>
      </c>
      <c r="CB120" s="173">
        <f t="shared" ca="1" si="181"/>
        <v>12.885329388560161</v>
      </c>
      <c r="CC120" s="173">
        <f t="shared" ca="1" si="182"/>
        <v>12.885329388560161</v>
      </c>
      <c r="CD120" s="173">
        <f t="shared" ca="1" si="183"/>
        <v>17.180439184746881</v>
      </c>
      <c r="CE120" s="180"/>
      <c r="CF120" s="166">
        <f t="shared" ca="1" si="151"/>
        <v>36.115353705946369</v>
      </c>
      <c r="CG120" s="167">
        <f t="shared" ca="1" si="152"/>
        <v>8.4977302837520856</v>
      </c>
      <c r="CH120" s="167">
        <f t="shared" ca="1" si="153"/>
        <v>8.4977302837520856</v>
      </c>
      <c r="CI120" s="167">
        <f t="shared" ca="1" si="166"/>
        <v>8.4977302837520856</v>
      </c>
      <c r="CJ120" s="167">
        <f t="shared" ca="1" si="184"/>
        <v>10.62216285469011</v>
      </c>
      <c r="CK120" s="178"/>
    </row>
    <row r="121" spans="2:89" ht="14.4" thickBot="1">
      <c r="B121" s="204">
        <v>18</v>
      </c>
      <c r="C121" s="205">
        <v>71.599999999999994</v>
      </c>
      <c r="D121" s="205"/>
      <c r="E121" s="206" t="s">
        <v>15</v>
      </c>
      <c r="F121" s="207">
        <v>5.84</v>
      </c>
      <c r="G121" s="208">
        <v>6.44</v>
      </c>
      <c r="H121" s="208">
        <v>7.57</v>
      </c>
      <c r="I121" s="208">
        <v>8.02</v>
      </c>
      <c r="J121" s="208">
        <v>13.65</v>
      </c>
      <c r="K121" s="208">
        <v>14.79</v>
      </c>
      <c r="L121" s="209">
        <v>15.7</v>
      </c>
      <c r="M121" s="209">
        <v>16.87</v>
      </c>
      <c r="N121" s="209">
        <v>18.649999999999999</v>
      </c>
      <c r="O121" s="209">
        <v>19.37</v>
      </c>
      <c r="P121" s="209">
        <v>23.6</v>
      </c>
      <c r="Q121" s="210">
        <v>26.27</v>
      </c>
      <c r="R121" s="211">
        <f t="shared" ca="1" si="167"/>
        <v>23.718666666666671</v>
      </c>
      <c r="S121" s="145"/>
      <c r="T121" s="145"/>
      <c r="U121" s="146"/>
      <c r="V121" s="149"/>
      <c r="W121" s="145"/>
      <c r="X121" s="152"/>
      <c r="Y121" s="238"/>
      <c r="AC121" s="164" t="s">
        <v>160</v>
      </c>
      <c r="AD121" s="164">
        <v>48</v>
      </c>
      <c r="AE121" s="165">
        <v>9</v>
      </c>
      <c r="AF121" s="165">
        <v>9</v>
      </c>
      <c r="AG121" s="165">
        <v>9</v>
      </c>
      <c r="AH121" s="165">
        <v>18</v>
      </c>
      <c r="AI121" s="165"/>
      <c r="AJ121" s="501"/>
      <c r="AK121" s="166">
        <f t="shared" ca="1" si="136"/>
        <v>50.783777777777765</v>
      </c>
      <c r="AL121" s="167">
        <f t="shared" ca="1" si="168"/>
        <v>10.320888888888884</v>
      </c>
      <c r="AM121" s="167">
        <f t="shared" ca="1" si="169"/>
        <v>10.320888888888884</v>
      </c>
      <c r="AN121" s="167">
        <f t="shared" ca="1" si="170"/>
        <v>10.320888888888884</v>
      </c>
      <c r="AO121" s="167">
        <f t="shared" ca="1" si="171"/>
        <v>19.821111111111112</v>
      </c>
      <c r="AP121" s="178"/>
      <c r="AQ121" s="169">
        <f t="shared" ca="1" si="139"/>
        <v>51.210444444444448</v>
      </c>
      <c r="AR121" s="170">
        <f ca="1">INDEX('Cap based on indoor unit SZ'!$J$6:$J$21,MATCH(AE121,'Cap based on indoor unit SZ'!$I$6:$I$21))</f>
        <v>10.463111111111111</v>
      </c>
      <c r="AS121" s="170">
        <f ca="1">INDEX('Cap based on indoor unit SZ'!$J$6:$J$21,MATCH(AF121,'Cap based on indoor unit SZ'!$I$6:$I$21))</f>
        <v>10.463111111111111</v>
      </c>
      <c r="AT121" s="170">
        <f ca="1">INDEX('Cap based on indoor unit SZ'!$J$6:$J$21,MATCH(AG121,'Cap based on indoor unit SZ'!$I$6:$I$21))</f>
        <v>10.463111111111111</v>
      </c>
      <c r="AU121" s="170">
        <f ca="1">INDEX('Cap based on indoor unit SZ'!$J$6:$J$21,MATCH(AH121,'Cap based on indoor unit SZ'!$I$6:$I$21))</f>
        <v>19.821111111111112</v>
      </c>
      <c r="AV121" s="179"/>
      <c r="AW121" s="169">
        <f t="shared" si="140"/>
        <v>44</v>
      </c>
      <c r="AX121" s="170">
        <v>9</v>
      </c>
      <c r="AY121" s="170">
        <v>9</v>
      </c>
      <c r="AZ121" s="170">
        <v>9</v>
      </c>
      <c r="BA121" s="170">
        <v>17</v>
      </c>
      <c r="BB121" s="179"/>
      <c r="BC121" s="172">
        <f t="shared" ca="1" si="141"/>
        <v>51.604444444444425</v>
      </c>
      <c r="BD121" s="173">
        <f t="shared" ca="1" si="172"/>
        <v>10.320888888888884</v>
      </c>
      <c r="BE121" s="173">
        <f t="shared" ca="1" si="173"/>
        <v>10.320888888888884</v>
      </c>
      <c r="BF121" s="173">
        <f t="shared" ca="1" si="174"/>
        <v>10.320888888888884</v>
      </c>
      <c r="BG121" s="173">
        <f t="shared" ca="1" si="175"/>
        <v>20.641777777777769</v>
      </c>
      <c r="BH121" s="180"/>
      <c r="BI121" s="166">
        <f t="shared" ca="1" si="144"/>
        <v>55.83642735042735</v>
      </c>
      <c r="BJ121" s="167">
        <f t="shared" ca="1" si="176"/>
        <v>11.167285470085471</v>
      </c>
      <c r="BK121" s="167">
        <f t="shared" ca="1" si="177"/>
        <v>11.167285470085471</v>
      </c>
      <c r="BL121" s="167">
        <f t="shared" ca="1" si="178"/>
        <v>11.167285470085471</v>
      </c>
      <c r="BM121" s="167">
        <f t="shared" ca="1" si="179"/>
        <v>22.334570940170941</v>
      </c>
      <c r="BN121" s="178"/>
      <c r="BO121" s="169">
        <f t="shared" ca="1" si="147"/>
        <v>60.466882051282042</v>
      </c>
      <c r="BP121" s="170">
        <f ca="1">INDEX('Cap based on indoor unit SZ'!$V$43:$V$58,MATCH(AE121,'Cap based on indoor unit SZ'!$U$43:$U$58))</f>
        <v>11.956020512820512</v>
      </c>
      <c r="BQ121" s="170">
        <f ca="1">INDEX('Cap based on indoor unit SZ'!$V$43:$V$58,MATCH(AF121,'Cap based on indoor unit SZ'!$U$43:$U$58))</f>
        <v>11.956020512820512</v>
      </c>
      <c r="BR121" s="170">
        <f ca="1">INDEX('Cap based on indoor unit SZ'!$V$43:$V$58,MATCH(AG121,'Cap based on indoor unit SZ'!$U$43:$U$58))</f>
        <v>11.956020512820512</v>
      </c>
      <c r="BS121" s="170">
        <f ca="1">INDEX('Cap based on indoor unit SZ'!$V$43:$V$58,MATCH(AH121,'Cap based on indoor unit SZ'!$U$43:$U$58))</f>
        <v>24.598820512820513</v>
      </c>
      <c r="BT121" s="179"/>
      <c r="BU121" s="175">
        <v>9500</v>
      </c>
      <c r="BV121" s="175">
        <v>9500</v>
      </c>
      <c r="BW121" s="175">
        <v>9500</v>
      </c>
      <c r="BX121" s="175">
        <v>17500</v>
      </c>
      <c r="BY121" s="179"/>
      <c r="BZ121" s="172">
        <f t="shared" ca="1" si="148"/>
        <v>55.83642735042735</v>
      </c>
      <c r="CA121" s="173">
        <f t="shared" ca="1" si="180"/>
        <v>11.167285470085471</v>
      </c>
      <c r="CB121" s="173">
        <f t="shared" ca="1" si="181"/>
        <v>11.167285470085471</v>
      </c>
      <c r="CC121" s="173">
        <f t="shared" ca="1" si="182"/>
        <v>11.167285470085471</v>
      </c>
      <c r="CD121" s="173">
        <f t="shared" ca="1" si="183"/>
        <v>22.334570940170941</v>
      </c>
      <c r="CE121" s="180"/>
      <c r="CF121" s="166">
        <f t="shared" ca="1" si="151"/>
        <v>41.244601320087767</v>
      </c>
      <c r="CG121" s="167">
        <f t="shared" ca="1" si="152"/>
        <v>8.3822229483175121</v>
      </c>
      <c r="CH121" s="167">
        <f t="shared" ca="1" si="153"/>
        <v>8.3822229483175121</v>
      </c>
      <c r="CI121" s="167">
        <f t="shared" ca="1" si="166"/>
        <v>8.3822229483175121</v>
      </c>
      <c r="CJ121" s="167">
        <f t="shared" ca="1" si="184"/>
        <v>16.097932475135234</v>
      </c>
      <c r="CK121" s="178"/>
    </row>
    <row r="122" spans="2:89">
      <c r="B122" s="188">
        <v>24</v>
      </c>
      <c r="C122" s="189">
        <v>59</v>
      </c>
      <c r="D122" s="189"/>
      <c r="E122" s="190" t="s">
        <v>15</v>
      </c>
      <c r="F122" s="191">
        <v>14.13</v>
      </c>
      <c r="G122" s="192">
        <v>17.95</v>
      </c>
      <c r="H122" s="192">
        <v>20.25</v>
      </c>
      <c r="I122" s="192">
        <v>22.73</v>
      </c>
      <c r="J122" s="192">
        <v>24.45</v>
      </c>
      <c r="K122" s="192">
        <v>25.66</v>
      </c>
      <c r="L122" s="193">
        <v>26.04</v>
      </c>
      <c r="M122" s="193">
        <v>28.31</v>
      </c>
      <c r="N122" s="193">
        <v>30.43</v>
      </c>
      <c r="O122" s="193">
        <v>32.22</v>
      </c>
      <c r="P122" s="193">
        <v>36.92</v>
      </c>
      <c r="Q122" s="194">
        <v>40.880000000000003</v>
      </c>
      <c r="R122" s="195">
        <f t="shared" ca="1" si="167"/>
        <v>37.096000000000004</v>
      </c>
      <c r="S122" s="145"/>
      <c r="T122" s="145"/>
      <c r="U122" s="146" t="s">
        <v>96</v>
      </c>
      <c r="V122" s="147">
        <f ca="1">FORECAST(INDOOR_HEAT_DB,OFFSET(R122:R125,MATCH(INDOOR_HEAT_DB,C122:C125,1)-1,0,2),OFFSET(C122:C125,MATCH(INDOOR_HEAT_DB,C122:C125,1)-1,0,2))</f>
        <v>36.210666666666668</v>
      </c>
      <c r="W122" s="145">
        <f>B122</f>
        <v>24</v>
      </c>
      <c r="X122" s="147">
        <f ca="1">IF(OR(INDOOR_HEAT_DB&lt;C122,INDOOR_HEAT_DB&gt;C125),V124,V122)</f>
        <v>36.210666666666668</v>
      </c>
      <c r="Y122" s="238"/>
      <c r="AC122" s="164" t="s">
        <v>159</v>
      </c>
      <c r="AD122" s="164">
        <v>48</v>
      </c>
      <c r="AE122" s="165">
        <v>9</v>
      </c>
      <c r="AF122" s="165">
        <v>9</v>
      </c>
      <c r="AG122" s="165">
        <v>9</v>
      </c>
      <c r="AH122" s="165">
        <v>24</v>
      </c>
      <c r="AI122" s="165"/>
      <c r="AJ122" s="501"/>
      <c r="AK122" s="166">
        <f t="shared" ca="1" si="136"/>
        <v>51.604444444444425</v>
      </c>
      <c r="AL122" s="167">
        <f t="shared" ca="1" si="168"/>
        <v>9.1066666666666638</v>
      </c>
      <c r="AM122" s="167">
        <f t="shared" ca="1" si="169"/>
        <v>9.1066666666666638</v>
      </c>
      <c r="AN122" s="167">
        <f t="shared" ca="1" si="170"/>
        <v>9.1066666666666638</v>
      </c>
      <c r="AO122" s="167">
        <f t="shared" ca="1" si="171"/>
        <v>24.284444444444436</v>
      </c>
      <c r="AP122" s="178"/>
      <c r="AQ122" s="169">
        <f t="shared" ca="1" si="139"/>
        <v>55.841555555555551</v>
      </c>
      <c r="AR122" s="170">
        <f ca="1">INDEX('Cap based on indoor unit SZ'!$J$6:$J$21,MATCH(AE122,'Cap based on indoor unit SZ'!$I$6:$I$21))</f>
        <v>10.463111111111111</v>
      </c>
      <c r="AS122" s="170">
        <f ca="1">INDEX('Cap based on indoor unit SZ'!$J$6:$J$21,MATCH(AF122,'Cap based on indoor unit SZ'!$I$6:$I$21))</f>
        <v>10.463111111111111</v>
      </c>
      <c r="AT122" s="170">
        <f ca="1">INDEX('Cap based on indoor unit SZ'!$J$6:$J$21,MATCH(AG122,'Cap based on indoor unit SZ'!$I$6:$I$21))</f>
        <v>10.463111111111111</v>
      </c>
      <c r="AU122" s="170">
        <f ca="1">INDEX('Cap based on indoor unit SZ'!$J$6:$J$21,MATCH(AH122,'Cap based on indoor unit SZ'!$I$6:$I$21))</f>
        <v>24.452222222222218</v>
      </c>
      <c r="AV122" s="179"/>
      <c r="AW122" s="169">
        <f t="shared" si="140"/>
        <v>46</v>
      </c>
      <c r="AX122" s="170">
        <v>8.5</v>
      </c>
      <c r="AY122" s="170">
        <v>8.5</v>
      </c>
      <c r="AZ122" s="170">
        <v>8.5</v>
      </c>
      <c r="BA122" s="170">
        <v>20.5</v>
      </c>
      <c r="BB122" s="179"/>
      <c r="BC122" s="172">
        <f t="shared" ca="1" si="141"/>
        <v>51.604444444444425</v>
      </c>
      <c r="BD122" s="173">
        <f t="shared" ca="1" si="172"/>
        <v>9.1066666666666638</v>
      </c>
      <c r="BE122" s="173">
        <f t="shared" ca="1" si="173"/>
        <v>9.1066666666666638</v>
      </c>
      <c r="BF122" s="173">
        <f t="shared" ca="1" si="174"/>
        <v>9.1066666666666638</v>
      </c>
      <c r="BG122" s="173">
        <f t="shared" ca="1" si="175"/>
        <v>24.284444444444436</v>
      </c>
      <c r="BH122" s="180"/>
      <c r="BI122" s="166">
        <f t="shared" ca="1" si="144"/>
        <v>55.836427350427364</v>
      </c>
      <c r="BJ122" s="167">
        <f t="shared" ca="1" si="176"/>
        <v>9.8534871794871819</v>
      </c>
      <c r="BK122" s="167">
        <f t="shared" ca="1" si="177"/>
        <v>9.8534871794871819</v>
      </c>
      <c r="BL122" s="167">
        <f t="shared" ca="1" si="178"/>
        <v>9.8534871794871819</v>
      </c>
      <c r="BM122" s="167">
        <f t="shared" ca="1" si="179"/>
        <v>26.275965811965818</v>
      </c>
      <c r="BN122" s="178"/>
      <c r="BO122" s="169">
        <f t="shared" ca="1" si="147"/>
        <v>66.158061538461538</v>
      </c>
      <c r="BP122" s="170">
        <f ca="1">INDEX('Cap based on indoor unit SZ'!$V$43:$V$58,MATCH(AE122,'Cap based on indoor unit SZ'!$U$43:$U$58))</f>
        <v>11.956020512820512</v>
      </c>
      <c r="BQ122" s="170">
        <f ca="1">INDEX('Cap based on indoor unit SZ'!$V$43:$V$58,MATCH(AF122,'Cap based on indoor unit SZ'!$U$43:$U$58))</f>
        <v>11.956020512820512</v>
      </c>
      <c r="BR122" s="170">
        <f ca="1">INDEX('Cap based on indoor unit SZ'!$V$43:$V$58,MATCH(AG122,'Cap based on indoor unit SZ'!$U$43:$U$58))</f>
        <v>11.956020512820512</v>
      </c>
      <c r="BS122" s="170">
        <f ca="1">INDEX('Cap based on indoor unit SZ'!$V$43:$V$58,MATCH(AH122,'Cap based on indoor unit SZ'!$U$43:$U$58))</f>
        <v>30.290000000000003</v>
      </c>
      <c r="BT122" s="179"/>
      <c r="BU122" s="175">
        <v>9000</v>
      </c>
      <c r="BV122" s="175">
        <v>9000</v>
      </c>
      <c r="BW122" s="175">
        <v>9000</v>
      </c>
      <c r="BX122" s="175">
        <v>21000</v>
      </c>
      <c r="BY122" s="179"/>
      <c r="BZ122" s="172">
        <f t="shared" ca="1" si="148"/>
        <v>55.836427350427364</v>
      </c>
      <c r="CA122" s="173">
        <f t="shared" ca="1" si="180"/>
        <v>9.8534871794871819</v>
      </c>
      <c r="CB122" s="173">
        <f t="shared" ca="1" si="181"/>
        <v>9.8534871794871819</v>
      </c>
      <c r="CC122" s="173">
        <f t="shared" ca="1" si="182"/>
        <v>9.8534871794871819</v>
      </c>
      <c r="CD122" s="173">
        <f t="shared" ca="1" si="183"/>
        <v>26.275965811965818</v>
      </c>
      <c r="CE122" s="180"/>
      <c r="CF122" s="166">
        <f t="shared" ca="1" si="151"/>
        <v>41.911114741587568</v>
      </c>
      <c r="CG122" s="167">
        <f t="shared" ca="1" si="152"/>
        <v>7.3960790720448646</v>
      </c>
      <c r="CH122" s="167">
        <f t="shared" ca="1" si="153"/>
        <v>7.3960790720448646</v>
      </c>
      <c r="CI122" s="167">
        <f t="shared" ca="1" si="166"/>
        <v>7.3960790720448646</v>
      </c>
      <c r="CJ122" s="167">
        <f t="shared" ca="1" si="184"/>
        <v>19.722877525452972</v>
      </c>
      <c r="CK122" s="178"/>
    </row>
    <row r="123" spans="2:89">
      <c r="B123" s="196">
        <v>24</v>
      </c>
      <c r="C123" s="197">
        <v>64.400000000000006</v>
      </c>
      <c r="D123" s="197"/>
      <c r="E123" s="198" t="s">
        <v>15</v>
      </c>
      <c r="F123" s="199">
        <v>13.95</v>
      </c>
      <c r="G123" s="200">
        <v>17.73</v>
      </c>
      <c r="H123" s="200">
        <v>20</v>
      </c>
      <c r="I123" s="200">
        <v>22.45</v>
      </c>
      <c r="J123" s="200">
        <v>24.35</v>
      </c>
      <c r="K123" s="200">
        <v>25.34</v>
      </c>
      <c r="L123" s="201">
        <v>25.72</v>
      </c>
      <c r="M123" s="201">
        <v>27.96</v>
      </c>
      <c r="N123" s="201">
        <v>30.12</v>
      </c>
      <c r="O123" s="201">
        <v>31.89</v>
      </c>
      <c r="P123" s="201">
        <v>36.369999999999997</v>
      </c>
      <c r="Q123" s="202">
        <v>40.270000000000003</v>
      </c>
      <c r="R123" s="203">
        <f t="shared" ca="1" si="167"/>
        <v>36.543333333333329</v>
      </c>
      <c r="S123" s="145"/>
      <c r="T123" s="145"/>
      <c r="U123" s="146"/>
      <c r="V123" s="148"/>
      <c r="W123" s="145"/>
      <c r="X123" s="152"/>
      <c r="Y123" s="239"/>
      <c r="AC123" s="164" t="s">
        <v>158</v>
      </c>
      <c r="AD123" s="164">
        <v>48</v>
      </c>
      <c r="AE123" s="165">
        <v>9</v>
      </c>
      <c r="AF123" s="165">
        <v>9</v>
      </c>
      <c r="AG123" s="165">
        <v>12</v>
      </c>
      <c r="AH123" s="165">
        <v>12</v>
      </c>
      <c r="AI123" s="165"/>
      <c r="AJ123" s="501"/>
      <c r="AK123" s="166">
        <f t="shared" ca="1" si="136"/>
        <v>47.084000000000003</v>
      </c>
      <c r="AL123" s="167">
        <f t="shared" ca="1" si="168"/>
        <v>10.463111111111111</v>
      </c>
      <c r="AM123" s="167">
        <f t="shared" ca="1" si="169"/>
        <v>10.463111111111111</v>
      </c>
      <c r="AN123" s="167">
        <f t="shared" ca="1" si="170"/>
        <v>13.078888888888891</v>
      </c>
      <c r="AO123" s="167">
        <f t="shared" ca="1" si="171"/>
        <v>13.078888888888891</v>
      </c>
      <c r="AP123" s="178"/>
      <c r="AQ123" s="169">
        <f t="shared" ca="1" si="139"/>
        <v>47.084000000000003</v>
      </c>
      <c r="AR123" s="170">
        <f ca="1">INDEX('Cap based on indoor unit SZ'!$J$6:$J$21,MATCH(AE123,'Cap based on indoor unit SZ'!$I$6:$I$21))</f>
        <v>10.463111111111111</v>
      </c>
      <c r="AS123" s="170">
        <f ca="1">INDEX('Cap based on indoor unit SZ'!$J$6:$J$21,MATCH(AF123,'Cap based on indoor unit SZ'!$I$6:$I$21))</f>
        <v>10.463111111111111</v>
      </c>
      <c r="AT123" s="170">
        <f ca="1">INDEX('Cap based on indoor unit SZ'!$J$6:$J$21,MATCH(AG123,'Cap based on indoor unit SZ'!$I$6:$I$21))</f>
        <v>13.078888888888891</v>
      </c>
      <c r="AU123" s="170">
        <f ca="1">INDEX('Cap based on indoor unit SZ'!$J$6:$J$21,MATCH(AH123,'Cap based on indoor unit SZ'!$I$6:$I$21))</f>
        <v>13.078888888888891</v>
      </c>
      <c r="AV123" s="179"/>
      <c r="AW123" s="169">
        <f t="shared" si="140"/>
        <v>42</v>
      </c>
      <c r="AX123" s="170">
        <v>9</v>
      </c>
      <c r="AY123" s="170">
        <v>9</v>
      </c>
      <c r="AZ123" s="170">
        <v>12</v>
      </c>
      <c r="BA123" s="170">
        <v>12</v>
      </c>
      <c r="BB123" s="179"/>
      <c r="BC123" s="172">
        <f t="shared" ca="1" si="141"/>
        <v>51.604444444444432</v>
      </c>
      <c r="BD123" s="173">
        <f t="shared" ca="1" si="172"/>
        <v>11.058095238095236</v>
      </c>
      <c r="BE123" s="173">
        <f t="shared" ca="1" si="173"/>
        <v>11.058095238095236</v>
      </c>
      <c r="BF123" s="173">
        <f t="shared" ca="1" si="174"/>
        <v>14.74412698412698</v>
      </c>
      <c r="BG123" s="173">
        <f t="shared" ca="1" si="175"/>
        <v>14.74412698412698</v>
      </c>
      <c r="BH123" s="180"/>
      <c r="BI123" s="166">
        <f t="shared" ca="1" si="144"/>
        <v>53.802092307692305</v>
      </c>
      <c r="BJ123" s="167">
        <f t="shared" ca="1" si="176"/>
        <v>11.956020512820512</v>
      </c>
      <c r="BK123" s="167">
        <f t="shared" ca="1" si="177"/>
        <v>11.956020512820512</v>
      </c>
      <c r="BL123" s="167">
        <f t="shared" ca="1" si="178"/>
        <v>14.945025641025641</v>
      </c>
      <c r="BM123" s="167">
        <f t="shared" ca="1" si="179"/>
        <v>14.945025641025641</v>
      </c>
      <c r="BN123" s="178"/>
      <c r="BO123" s="169">
        <f t="shared" ca="1" si="147"/>
        <v>53.802092307692305</v>
      </c>
      <c r="BP123" s="170">
        <f ca="1">INDEX('Cap based on indoor unit SZ'!$V$43:$V$58,MATCH(AE123,'Cap based on indoor unit SZ'!$U$43:$U$58))</f>
        <v>11.956020512820512</v>
      </c>
      <c r="BQ123" s="170">
        <f ca="1">INDEX('Cap based on indoor unit SZ'!$V$43:$V$58,MATCH(AF123,'Cap based on indoor unit SZ'!$U$43:$U$58))</f>
        <v>11.956020512820512</v>
      </c>
      <c r="BR123" s="170">
        <f ca="1">INDEX('Cap based on indoor unit SZ'!$V$43:$V$58,MATCH(AG123,'Cap based on indoor unit SZ'!$U$43:$U$58))</f>
        <v>14.945025641025641</v>
      </c>
      <c r="BS123" s="170">
        <f ca="1">INDEX('Cap based on indoor unit SZ'!$V$43:$V$58,MATCH(AH123,'Cap based on indoor unit SZ'!$U$43:$U$58))</f>
        <v>14.945025641025641</v>
      </c>
      <c r="BT123" s="179"/>
      <c r="BU123" s="175">
        <v>9500</v>
      </c>
      <c r="BV123" s="175">
        <v>9500</v>
      </c>
      <c r="BW123" s="175">
        <v>13000</v>
      </c>
      <c r="BX123" s="175">
        <v>13000</v>
      </c>
      <c r="BY123" s="179"/>
      <c r="BZ123" s="172">
        <f t="shared" ca="1" si="148"/>
        <v>55.836427350427357</v>
      </c>
      <c r="CA123" s="173">
        <f t="shared" ca="1" si="180"/>
        <v>11.964948717948721</v>
      </c>
      <c r="CB123" s="173">
        <f t="shared" ca="1" si="181"/>
        <v>11.964948717948721</v>
      </c>
      <c r="CC123" s="173">
        <f t="shared" ca="1" si="182"/>
        <v>15.95326495726496</v>
      </c>
      <c r="CD123" s="173">
        <f t="shared" ca="1" si="183"/>
        <v>15.95326495726496</v>
      </c>
      <c r="CE123" s="180"/>
      <c r="CF123" s="166">
        <f t="shared" ca="1" si="151"/>
        <v>38.239786276884388</v>
      </c>
      <c r="CG123" s="167">
        <f t="shared" ca="1" si="152"/>
        <v>8.4977302837520856</v>
      </c>
      <c r="CH123" s="167">
        <f t="shared" ca="1" si="153"/>
        <v>8.4977302837520856</v>
      </c>
      <c r="CI123" s="167">
        <f t="shared" ca="1" si="166"/>
        <v>10.62216285469011</v>
      </c>
      <c r="CJ123" s="167">
        <f t="shared" ca="1" si="184"/>
        <v>10.62216285469011</v>
      </c>
      <c r="CK123" s="178"/>
    </row>
    <row r="124" spans="2:89">
      <c r="B124" s="196">
        <v>24</v>
      </c>
      <c r="C124" s="197">
        <v>69</v>
      </c>
      <c r="D124" s="197"/>
      <c r="E124" s="198" t="s">
        <v>15</v>
      </c>
      <c r="F124" s="199">
        <v>13.85</v>
      </c>
      <c r="G124" s="200">
        <v>17.59</v>
      </c>
      <c r="H124" s="200">
        <v>19.84</v>
      </c>
      <c r="I124" s="200">
        <v>22.28</v>
      </c>
      <c r="J124" s="200">
        <v>24.17</v>
      </c>
      <c r="K124" s="200">
        <v>25.15</v>
      </c>
      <c r="L124" s="201">
        <v>25.52</v>
      </c>
      <c r="M124" s="201">
        <v>27.74</v>
      </c>
      <c r="N124" s="201">
        <v>29.89</v>
      </c>
      <c r="O124" s="201">
        <v>31.21</v>
      </c>
      <c r="P124" s="201">
        <v>36.22</v>
      </c>
      <c r="Q124" s="202">
        <v>40.71</v>
      </c>
      <c r="R124" s="203">
        <f t="shared" ca="1" si="167"/>
        <v>36.419555555555561</v>
      </c>
      <c r="S124" s="145"/>
      <c r="T124" s="145"/>
      <c r="U124" s="146" t="s">
        <v>97</v>
      </c>
      <c r="V124" s="147">
        <f ca="1">TREND(R122:R125,C122:C125,INDOOR_HEAT_DB)</f>
        <v>36.136810801663287</v>
      </c>
      <c r="W124" s="145"/>
      <c r="X124" s="152"/>
      <c r="Y124" s="238"/>
      <c r="AC124" s="164" t="s">
        <v>157</v>
      </c>
      <c r="AD124" s="164">
        <v>48</v>
      </c>
      <c r="AE124" s="165">
        <v>9</v>
      </c>
      <c r="AF124" s="165">
        <v>9</v>
      </c>
      <c r="AG124" s="165">
        <v>12</v>
      </c>
      <c r="AH124" s="165">
        <v>18</v>
      </c>
      <c r="AI124" s="165"/>
      <c r="AJ124" s="501"/>
      <c r="AK124" s="166">
        <f t="shared" ca="1" si="136"/>
        <v>51.604444444444425</v>
      </c>
      <c r="AL124" s="167">
        <f t="shared" ca="1" si="168"/>
        <v>9.6758333333333297</v>
      </c>
      <c r="AM124" s="167">
        <f t="shared" ca="1" si="169"/>
        <v>9.6758333333333297</v>
      </c>
      <c r="AN124" s="167">
        <f t="shared" ca="1" si="170"/>
        <v>12.901111111111106</v>
      </c>
      <c r="AO124" s="167">
        <f t="shared" ca="1" si="171"/>
        <v>19.351666666666659</v>
      </c>
      <c r="AP124" s="178"/>
      <c r="AQ124" s="169">
        <f t="shared" ca="1" si="139"/>
        <v>53.826222222222228</v>
      </c>
      <c r="AR124" s="170">
        <f ca="1">INDEX('Cap based on indoor unit SZ'!$J$6:$J$21,MATCH(AE124,'Cap based on indoor unit SZ'!$I$6:$I$21))</f>
        <v>10.463111111111111</v>
      </c>
      <c r="AS124" s="170">
        <f ca="1">INDEX('Cap based on indoor unit SZ'!$J$6:$J$21,MATCH(AF124,'Cap based on indoor unit SZ'!$I$6:$I$21))</f>
        <v>10.463111111111111</v>
      </c>
      <c r="AT124" s="170">
        <f ca="1">INDEX('Cap based on indoor unit SZ'!$J$6:$J$21,MATCH(AG124,'Cap based on indoor unit SZ'!$I$6:$I$21))</f>
        <v>13.078888888888891</v>
      </c>
      <c r="AU124" s="170">
        <f ca="1">INDEX('Cap based on indoor unit SZ'!$J$6:$J$21,MATCH(AH124,'Cap based on indoor unit SZ'!$I$6:$I$21))</f>
        <v>19.821111111111112</v>
      </c>
      <c r="AV124" s="179"/>
      <c r="AW124" s="169">
        <f t="shared" si="140"/>
        <v>46</v>
      </c>
      <c r="AX124" s="170">
        <v>9</v>
      </c>
      <c r="AY124" s="170">
        <v>9</v>
      </c>
      <c r="AZ124" s="170">
        <v>11</v>
      </c>
      <c r="BA124" s="170">
        <v>17</v>
      </c>
      <c r="BB124" s="179"/>
      <c r="BC124" s="172">
        <f t="shared" ca="1" si="141"/>
        <v>51.604444444444425</v>
      </c>
      <c r="BD124" s="173">
        <f t="shared" ca="1" si="172"/>
        <v>9.6758333333333297</v>
      </c>
      <c r="BE124" s="173">
        <f t="shared" ca="1" si="173"/>
        <v>9.6758333333333297</v>
      </c>
      <c r="BF124" s="173">
        <f t="shared" ca="1" si="174"/>
        <v>12.901111111111106</v>
      </c>
      <c r="BG124" s="173">
        <f t="shared" ca="1" si="175"/>
        <v>19.351666666666659</v>
      </c>
      <c r="BH124" s="180"/>
      <c r="BI124" s="166">
        <f t="shared" ca="1" si="144"/>
        <v>55.836427350427357</v>
      </c>
      <c r="BJ124" s="167">
        <f t="shared" ca="1" si="176"/>
        <v>10.469330128205129</v>
      </c>
      <c r="BK124" s="167">
        <f t="shared" ca="1" si="177"/>
        <v>10.469330128205129</v>
      </c>
      <c r="BL124" s="167">
        <f t="shared" ca="1" si="178"/>
        <v>13.959106837606839</v>
      </c>
      <c r="BM124" s="167">
        <f t="shared" ca="1" si="179"/>
        <v>20.938660256410259</v>
      </c>
      <c r="BN124" s="178"/>
      <c r="BO124" s="169">
        <f t="shared" ca="1" si="147"/>
        <v>63.455887179487178</v>
      </c>
      <c r="BP124" s="170">
        <f ca="1">INDEX('Cap based on indoor unit SZ'!$V$43:$V$58,MATCH(AE124,'Cap based on indoor unit SZ'!$U$43:$U$58))</f>
        <v>11.956020512820512</v>
      </c>
      <c r="BQ124" s="170">
        <f ca="1">INDEX('Cap based on indoor unit SZ'!$V$43:$V$58,MATCH(AF124,'Cap based on indoor unit SZ'!$U$43:$U$58))</f>
        <v>11.956020512820512</v>
      </c>
      <c r="BR124" s="170">
        <f ca="1">INDEX('Cap based on indoor unit SZ'!$V$43:$V$58,MATCH(AG124,'Cap based on indoor unit SZ'!$U$43:$U$58))</f>
        <v>14.945025641025641</v>
      </c>
      <c r="BS124" s="170">
        <f ca="1">INDEX('Cap based on indoor unit SZ'!$V$43:$V$58,MATCH(AH124,'Cap based on indoor unit SZ'!$U$43:$U$58))</f>
        <v>24.598820512820513</v>
      </c>
      <c r="BT124" s="179"/>
      <c r="BU124" s="175">
        <v>9500</v>
      </c>
      <c r="BV124" s="175">
        <v>9500</v>
      </c>
      <c r="BW124" s="175">
        <v>11500</v>
      </c>
      <c r="BX124" s="175">
        <v>17500</v>
      </c>
      <c r="BY124" s="179"/>
      <c r="BZ124" s="172">
        <f t="shared" ca="1" si="148"/>
        <v>55.836427350427357</v>
      </c>
      <c r="CA124" s="173">
        <f t="shared" ca="1" si="180"/>
        <v>10.469330128205129</v>
      </c>
      <c r="CB124" s="173">
        <f t="shared" ca="1" si="181"/>
        <v>10.469330128205129</v>
      </c>
      <c r="CC124" s="173">
        <f t="shared" ca="1" si="182"/>
        <v>13.959106837606839</v>
      </c>
      <c r="CD124" s="173">
        <f t="shared" ca="1" si="183"/>
        <v>20.938660256410259</v>
      </c>
      <c r="CE124" s="180"/>
      <c r="CF124" s="166">
        <f t="shared" ca="1" si="151"/>
        <v>41.911114741587561</v>
      </c>
      <c r="CG124" s="167">
        <f t="shared" ca="1" si="152"/>
        <v>7.8583340140476681</v>
      </c>
      <c r="CH124" s="167">
        <f t="shared" ca="1" si="153"/>
        <v>7.8583340140476681</v>
      </c>
      <c r="CI124" s="167">
        <f t="shared" ca="1" si="166"/>
        <v>10.47777868539689</v>
      </c>
      <c r="CJ124" s="167">
        <f t="shared" ca="1" si="184"/>
        <v>15.716668028095336</v>
      </c>
      <c r="CK124" s="178"/>
    </row>
    <row r="125" spans="2:89" ht="14.4" thickBot="1">
      <c r="B125" s="204">
        <v>24</v>
      </c>
      <c r="C125" s="205">
        <v>71.599999999999994</v>
      </c>
      <c r="D125" s="205"/>
      <c r="E125" s="206" t="s">
        <v>15</v>
      </c>
      <c r="F125" s="207">
        <v>13.78</v>
      </c>
      <c r="G125" s="208">
        <v>17.5</v>
      </c>
      <c r="H125" s="208">
        <v>19.75</v>
      </c>
      <c r="I125" s="208">
        <v>22.16</v>
      </c>
      <c r="J125" s="208">
        <v>23.55</v>
      </c>
      <c r="K125" s="208">
        <v>25.02</v>
      </c>
      <c r="L125" s="209">
        <v>25.39</v>
      </c>
      <c r="M125" s="209">
        <v>27.6</v>
      </c>
      <c r="N125" s="209">
        <v>29.74</v>
      </c>
      <c r="O125" s="209">
        <v>30.78</v>
      </c>
      <c r="P125" s="209">
        <v>35.68</v>
      </c>
      <c r="Q125" s="210">
        <v>40.1</v>
      </c>
      <c r="R125" s="211">
        <f t="shared" ca="1" si="167"/>
        <v>35.876444444444445</v>
      </c>
      <c r="S125" s="145"/>
      <c r="T125" s="145"/>
      <c r="U125" s="146"/>
      <c r="V125" s="149"/>
      <c r="W125" s="145"/>
      <c r="X125" s="152"/>
      <c r="Y125" s="238"/>
      <c r="AC125" s="164" t="s">
        <v>156</v>
      </c>
      <c r="AD125" s="164">
        <v>48</v>
      </c>
      <c r="AE125" s="165">
        <v>9</v>
      </c>
      <c r="AF125" s="165">
        <v>9</v>
      </c>
      <c r="AG125" s="165">
        <v>12</v>
      </c>
      <c r="AH125" s="165">
        <v>24</v>
      </c>
      <c r="AI125" s="165"/>
      <c r="AJ125" s="501"/>
      <c r="AK125" s="166">
        <f t="shared" ref="AK125:AK148" ca="1" si="185">SUM(AL125:AP125)</f>
        <v>51.604444444444425</v>
      </c>
      <c r="AL125" s="167">
        <f t="shared" ca="1" si="168"/>
        <v>8.6007407407407381</v>
      </c>
      <c r="AM125" s="167">
        <f t="shared" ca="1" si="169"/>
        <v>8.6007407407407381</v>
      </c>
      <c r="AN125" s="167">
        <f t="shared" ca="1" si="170"/>
        <v>11.46765432098765</v>
      </c>
      <c r="AO125" s="167">
        <f t="shared" ca="1" si="171"/>
        <v>22.935308641975301</v>
      </c>
      <c r="AP125" s="178"/>
      <c r="AQ125" s="169">
        <f t="shared" ref="AQ125:AQ148" ca="1" si="186">SUM(AR125:AV125)</f>
        <v>58.457333333333331</v>
      </c>
      <c r="AR125" s="170">
        <f ca="1">INDEX('Cap based on indoor unit SZ'!$J$6:$J$21,MATCH(AE125,'Cap based on indoor unit SZ'!$I$6:$I$21))</f>
        <v>10.463111111111111</v>
      </c>
      <c r="AS125" s="170">
        <f ca="1">INDEX('Cap based on indoor unit SZ'!$J$6:$J$21,MATCH(AF125,'Cap based on indoor unit SZ'!$I$6:$I$21))</f>
        <v>10.463111111111111</v>
      </c>
      <c r="AT125" s="170">
        <f ca="1">INDEX('Cap based on indoor unit SZ'!$J$6:$J$21,MATCH(AG125,'Cap based on indoor unit SZ'!$I$6:$I$21))</f>
        <v>13.078888888888891</v>
      </c>
      <c r="AU125" s="170">
        <f ca="1">INDEX('Cap based on indoor unit SZ'!$J$6:$J$21,MATCH(AH125,'Cap based on indoor unit SZ'!$I$6:$I$21))</f>
        <v>24.452222222222218</v>
      </c>
      <c r="AV125" s="179"/>
      <c r="AW125" s="169">
        <f t="shared" si="140"/>
        <v>48</v>
      </c>
      <c r="AX125" s="170">
        <v>8.5</v>
      </c>
      <c r="AY125" s="170">
        <v>8.5</v>
      </c>
      <c r="AZ125" s="170">
        <v>10.5</v>
      </c>
      <c r="BA125" s="170">
        <v>20.5</v>
      </c>
      <c r="BB125" s="179"/>
      <c r="BC125" s="172">
        <f t="shared" ref="BC125:BC148" ca="1" si="187">SUM(BD125:BH125)</f>
        <v>51.604444444444425</v>
      </c>
      <c r="BD125" s="173">
        <f t="shared" ca="1" si="172"/>
        <v>8.6007407407407381</v>
      </c>
      <c r="BE125" s="173">
        <f t="shared" ca="1" si="173"/>
        <v>8.6007407407407381</v>
      </c>
      <c r="BF125" s="173">
        <f t="shared" ca="1" si="174"/>
        <v>11.46765432098765</v>
      </c>
      <c r="BG125" s="173">
        <f t="shared" ca="1" si="175"/>
        <v>22.935308641975301</v>
      </c>
      <c r="BH125" s="180"/>
      <c r="BI125" s="166">
        <f t="shared" ref="BI125:BI148" ca="1" si="188">SUM(BJ125:BN125)</f>
        <v>55.836427350427357</v>
      </c>
      <c r="BJ125" s="167">
        <f t="shared" ca="1" si="176"/>
        <v>9.3060712250712267</v>
      </c>
      <c r="BK125" s="167">
        <f t="shared" ca="1" si="177"/>
        <v>9.3060712250712267</v>
      </c>
      <c r="BL125" s="167">
        <f t="shared" ca="1" si="178"/>
        <v>12.408094966761634</v>
      </c>
      <c r="BM125" s="167">
        <f t="shared" ca="1" si="179"/>
        <v>24.816189933523269</v>
      </c>
      <c r="BN125" s="178"/>
      <c r="BO125" s="169">
        <f t="shared" ref="BO125:BO148" ca="1" si="189">SUM(BP125:BT125)</f>
        <v>69.147066666666674</v>
      </c>
      <c r="BP125" s="170">
        <f ca="1">INDEX('Cap based on indoor unit SZ'!$V$43:$V$58,MATCH(AE125,'Cap based on indoor unit SZ'!$U$43:$U$58))</f>
        <v>11.956020512820512</v>
      </c>
      <c r="BQ125" s="170">
        <f ca="1">INDEX('Cap based on indoor unit SZ'!$V$43:$V$58,MATCH(AF125,'Cap based on indoor unit SZ'!$U$43:$U$58))</f>
        <v>11.956020512820512</v>
      </c>
      <c r="BR125" s="170">
        <f ca="1">INDEX('Cap based on indoor unit SZ'!$V$43:$V$58,MATCH(AG125,'Cap based on indoor unit SZ'!$U$43:$U$58))</f>
        <v>14.945025641025641</v>
      </c>
      <c r="BS125" s="170">
        <f ca="1">INDEX('Cap based on indoor unit SZ'!$V$43:$V$58,MATCH(AH125,'Cap based on indoor unit SZ'!$U$43:$U$58))</f>
        <v>30.290000000000003</v>
      </c>
      <c r="BT125" s="179"/>
      <c r="BU125" s="175">
        <v>9000</v>
      </c>
      <c r="BV125" s="175">
        <v>9000</v>
      </c>
      <c r="BW125" s="175">
        <v>11000</v>
      </c>
      <c r="BX125" s="175">
        <v>21000</v>
      </c>
      <c r="BY125" s="179"/>
      <c r="BZ125" s="172">
        <f t="shared" ref="BZ125:BZ148" ca="1" si="190">SUM(CA125:CE125)</f>
        <v>55.836427350427357</v>
      </c>
      <c r="CA125" s="173">
        <f t="shared" ca="1" si="180"/>
        <v>9.3060712250712267</v>
      </c>
      <c r="CB125" s="173">
        <f t="shared" ca="1" si="181"/>
        <v>9.3060712250712267</v>
      </c>
      <c r="CC125" s="173">
        <f t="shared" ca="1" si="182"/>
        <v>12.408094966761634</v>
      </c>
      <c r="CD125" s="173">
        <f t="shared" ca="1" si="183"/>
        <v>24.816189933523269</v>
      </c>
      <c r="CE125" s="180"/>
      <c r="CF125" s="166">
        <f t="shared" ref="CF125:CF148" ca="1" si="191">SUM(CG125:CK125)</f>
        <v>41.911114741587561</v>
      </c>
      <c r="CG125" s="167">
        <f t="shared" ref="CG125:CG148" ca="1" si="192">AL125*(INDEX($X$67:$X$86,MATCH($AD125,$W$67:$W$86,1)))</f>
        <v>6.9851857902645937</v>
      </c>
      <c r="CH125" s="167">
        <f t="shared" ref="CH125:CH148" ca="1" si="193">AM125*(INDEX($X$67:$X$86,MATCH($AD125,$W$67:$W$86,1)))</f>
        <v>6.9851857902645937</v>
      </c>
      <c r="CI125" s="167">
        <f t="shared" ca="1" si="166"/>
        <v>9.313581053686125</v>
      </c>
      <c r="CJ125" s="167">
        <f t="shared" ca="1" si="184"/>
        <v>18.62716210737225</v>
      </c>
      <c r="CK125" s="178"/>
    </row>
    <row r="126" spans="2:89">
      <c r="B126" s="188">
        <v>30</v>
      </c>
      <c r="C126" s="189">
        <v>59</v>
      </c>
      <c r="D126" s="189"/>
      <c r="E126" s="190" t="s">
        <v>15</v>
      </c>
      <c r="F126" s="191">
        <v>18.66</v>
      </c>
      <c r="G126" s="192">
        <v>22.54</v>
      </c>
      <c r="H126" s="192">
        <v>24.52</v>
      </c>
      <c r="I126" s="192">
        <v>26.84</v>
      </c>
      <c r="J126" s="192">
        <v>29.23</v>
      </c>
      <c r="K126" s="192">
        <v>31.77</v>
      </c>
      <c r="L126" s="193">
        <v>32.06</v>
      </c>
      <c r="M126" s="193">
        <v>33.46</v>
      </c>
      <c r="N126" s="193">
        <v>35.15</v>
      </c>
      <c r="O126" s="193">
        <v>37.090000000000003</v>
      </c>
      <c r="P126" s="193">
        <v>38.47</v>
      </c>
      <c r="Q126" s="194">
        <v>41.89</v>
      </c>
      <c r="R126" s="195">
        <f t="shared" ca="1" si="167"/>
        <v>38.622</v>
      </c>
      <c r="S126" s="145"/>
      <c r="T126" s="145"/>
      <c r="U126" s="146" t="s">
        <v>96</v>
      </c>
      <c r="V126" s="147">
        <f ca="1">FORECAST(INDOOR_HEAT_DB,OFFSET(R126:R129,MATCH(INDOOR_HEAT_DB,C126:C129,1)-1,0,2),OFFSET(C126:C129,MATCH(INDOOR_HEAT_DB,C126:C129,1)-1,0,2))</f>
        <v>37.129931623931618</v>
      </c>
      <c r="W126" s="145">
        <f>B126</f>
        <v>30</v>
      </c>
      <c r="X126" s="147">
        <f ca="1">IF(OR(INDOOR_HEAT_DB&lt;C126,INDOOR_HEAT_DB&gt;C129),V128,V126)</f>
        <v>37.129931623931618</v>
      </c>
      <c r="Y126" s="239"/>
      <c r="AC126" s="164" t="s">
        <v>155</v>
      </c>
      <c r="AD126" s="164">
        <v>48</v>
      </c>
      <c r="AE126" s="165">
        <v>9</v>
      </c>
      <c r="AF126" s="165">
        <v>9</v>
      </c>
      <c r="AG126" s="165">
        <v>18</v>
      </c>
      <c r="AH126" s="165">
        <v>18</v>
      </c>
      <c r="AI126" s="165"/>
      <c r="AJ126" s="501"/>
      <c r="AK126" s="166">
        <f t="shared" ca="1" si="185"/>
        <v>51.604444444444425</v>
      </c>
      <c r="AL126" s="167">
        <f t="shared" ca="1" si="168"/>
        <v>8.6007407407407381</v>
      </c>
      <c r="AM126" s="167">
        <f t="shared" ca="1" si="169"/>
        <v>8.6007407407407381</v>
      </c>
      <c r="AN126" s="167">
        <f t="shared" ca="1" si="170"/>
        <v>17.201481481481476</v>
      </c>
      <c r="AO126" s="167">
        <f t="shared" ca="1" si="171"/>
        <v>17.201481481481476</v>
      </c>
      <c r="AP126" s="178"/>
      <c r="AQ126" s="169">
        <f t="shared" ca="1" si="186"/>
        <v>60.568444444444438</v>
      </c>
      <c r="AR126" s="170">
        <f ca="1">INDEX('Cap based on indoor unit SZ'!$J$6:$J$21,MATCH(AE126,'Cap based on indoor unit SZ'!$I$6:$I$21))</f>
        <v>10.463111111111111</v>
      </c>
      <c r="AS126" s="170">
        <f ca="1">INDEX('Cap based on indoor unit SZ'!$J$6:$J$21,MATCH(AF126,'Cap based on indoor unit SZ'!$I$6:$I$21))</f>
        <v>10.463111111111111</v>
      </c>
      <c r="AT126" s="170">
        <f ca="1">INDEX('Cap based on indoor unit SZ'!$J$6:$J$21,MATCH(AG126,'Cap based on indoor unit SZ'!$I$6:$I$21))</f>
        <v>19.821111111111112</v>
      </c>
      <c r="AU126" s="170">
        <f ca="1">INDEX('Cap based on indoor unit SZ'!$J$6:$J$21,MATCH(AH126,'Cap based on indoor unit SZ'!$I$6:$I$21))</f>
        <v>19.821111111111112</v>
      </c>
      <c r="AV126" s="179"/>
      <c r="AW126" s="169">
        <f t="shared" si="140"/>
        <v>48</v>
      </c>
      <c r="AX126" s="170">
        <v>8.5</v>
      </c>
      <c r="AY126" s="170">
        <v>8.5</v>
      </c>
      <c r="AZ126" s="170">
        <v>15.5</v>
      </c>
      <c r="BA126" s="170">
        <v>15.5</v>
      </c>
      <c r="BB126" s="179"/>
      <c r="BC126" s="172">
        <f t="shared" ca="1" si="187"/>
        <v>51.604444444444425</v>
      </c>
      <c r="BD126" s="173">
        <f t="shared" ca="1" si="172"/>
        <v>8.6007407407407381</v>
      </c>
      <c r="BE126" s="173">
        <f t="shared" ca="1" si="173"/>
        <v>8.6007407407407381</v>
      </c>
      <c r="BF126" s="173">
        <f t="shared" ca="1" si="174"/>
        <v>17.201481481481476</v>
      </c>
      <c r="BG126" s="173">
        <f t="shared" ca="1" si="175"/>
        <v>17.201481481481476</v>
      </c>
      <c r="BH126" s="180"/>
      <c r="BI126" s="166">
        <f t="shared" ca="1" si="188"/>
        <v>55.836427350427357</v>
      </c>
      <c r="BJ126" s="167">
        <f t="shared" ca="1" si="176"/>
        <v>9.3060712250712267</v>
      </c>
      <c r="BK126" s="167">
        <f t="shared" ca="1" si="177"/>
        <v>9.3060712250712267</v>
      </c>
      <c r="BL126" s="167">
        <f t="shared" ca="1" si="178"/>
        <v>18.612142450142453</v>
      </c>
      <c r="BM126" s="167">
        <f t="shared" ca="1" si="179"/>
        <v>18.612142450142453</v>
      </c>
      <c r="BN126" s="178"/>
      <c r="BO126" s="169">
        <f t="shared" ca="1" si="189"/>
        <v>73.10968205128205</v>
      </c>
      <c r="BP126" s="170">
        <f ca="1">INDEX('Cap based on indoor unit SZ'!$V$43:$V$58,MATCH(AE126,'Cap based on indoor unit SZ'!$U$43:$U$58))</f>
        <v>11.956020512820512</v>
      </c>
      <c r="BQ126" s="170">
        <f ca="1">INDEX('Cap based on indoor unit SZ'!$V$43:$V$58,MATCH(AF126,'Cap based on indoor unit SZ'!$U$43:$U$58))</f>
        <v>11.956020512820512</v>
      </c>
      <c r="BR126" s="170">
        <f ca="1">INDEX('Cap based on indoor unit SZ'!$V$43:$V$58,MATCH(AG126,'Cap based on indoor unit SZ'!$U$43:$U$58))</f>
        <v>24.598820512820513</v>
      </c>
      <c r="BS126" s="170">
        <f ca="1">INDEX('Cap based on indoor unit SZ'!$V$43:$V$58,MATCH(AH126,'Cap based on indoor unit SZ'!$U$43:$U$58))</f>
        <v>24.598820512820513</v>
      </c>
      <c r="BT126" s="179"/>
      <c r="BU126" s="175">
        <v>9000</v>
      </c>
      <c r="BV126" s="175">
        <v>9000</v>
      </c>
      <c r="BW126" s="175">
        <v>16000</v>
      </c>
      <c r="BX126" s="175">
        <v>16000</v>
      </c>
      <c r="BY126" s="179"/>
      <c r="BZ126" s="172">
        <f t="shared" ca="1" si="190"/>
        <v>55.836427350427357</v>
      </c>
      <c r="CA126" s="173">
        <f t="shared" ca="1" si="180"/>
        <v>9.3060712250712267</v>
      </c>
      <c r="CB126" s="173">
        <f t="shared" ca="1" si="181"/>
        <v>9.3060712250712267</v>
      </c>
      <c r="CC126" s="173">
        <f t="shared" ca="1" si="182"/>
        <v>18.612142450142453</v>
      </c>
      <c r="CD126" s="173">
        <f t="shared" ca="1" si="183"/>
        <v>18.612142450142453</v>
      </c>
      <c r="CE126" s="180"/>
      <c r="CF126" s="166">
        <f t="shared" ca="1" si="191"/>
        <v>41.911114741587561</v>
      </c>
      <c r="CG126" s="167">
        <f t="shared" ca="1" si="192"/>
        <v>6.9851857902645937</v>
      </c>
      <c r="CH126" s="167">
        <f t="shared" ca="1" si="193"/>
        <v>6.9851857902645937</v>
      </c>
      <c r="CI126" s="167">
        <f t="shared" ca="1" si="166"/>
        <v>13.970371580529187</v>
      </c>
      <c r="CJ126" s="167">
        <f t="shared" ca="1" si="184"/>
        <v>13.970371580529187</v>
      </c>
      <c r="CK126" s="178"/>
    </row>
    <row r="127" spans="2:89">
      <c r="B127" s="196">
        <v>30</v>
      </c>
      <c r="C127" s="197">
        <v>64.400000000000006</v>
      </c>
      <c r="D127" s="197"/>
      <c r="E127" s="198" t="s">
        <v>15</v>
      </c>
      <c r="F127" s="199">
        <v>18.41</v>
      </c>
      <c r="G127" s="200">
        <v>22.23</v>
      </c>
      <c r="H127" s="200">
        <v>24.18</v>
      </c>
      <c r="I127" s="200">
        <v>26.47</v>
      </c>
      <c r="J127" s="200">
        <v>28.74</v>
      </c>
      <c r="K127" s="200">
        <v>31.31</v>
      </c>
      <c r="L127" s="201">
        <v>31.59</v>
      </c>
      <c r="M127" s="201">
        <v>32.97</v>
      </c>
      <c r="N127" s="201">
        <v>34.64</v>
      </c>
      <c r="O127" s="201">
        <v>36.549999999999997</v>
      </c>
      <c r="P127" s="201">
        <v>37.89</v>
      </c>
      <c r="Q127" s="202">
        <v>41.26</v>
      </c>
      <c r="R127" s="203">
        <f t="shared" ca="1" si="167"/>
        <v>38.039777777777786</v>
      </c>
      <c r="S127" s="152"/>
      <c r="T127" s="152"/>
      <c r="U127" s="146"/>
      <c r="V127" s="148"/>
      <c r="W127" s="145"/>
      <c r="X127" s="152"/>
      <c r="Y127" s="238"/>
      <c r="AC127" s="164" t="s">
        <v>154</v>
      </c>
      <c r="AD127" s="164">
        <v>48</v>
      </c>
      <c r="AE127" s="165">
        <v>9</v>
      </c>
      <c r="AF127" s="165">
        <v>9</v>
      </c>
      <c r="AG127" s="165">
        <v>18</v>
      </c>
      <c r="AH127" s="165">
        <v>24</v>
      </c>
      <c r="AI127" s="165"/>
      <c r="AJ127" s="501"/>
      <c r="AK127" s="166">
        <f t="shared" ca="1" si="185"/>
        <v>51.604444444444425</v>
      </c>
      <c r="AL127" s="167">
        <f t="shared" ca="1" si="168"/>
        <v>7.7406666666666641</v>
      </c>
      <c r="AM127" s="167">
        <f t="shared" ca="1" si="169"/>
        <v>7.7406666666666641</v>
      </c>
      <c r="AN127" s="167">
        <f t="shared" ca="1" si="170"/>
        <v>15.481333333333328</v>
      </c>
      <c r="AO127" s="167">
        <f t="shared" ca="1" si="171"/>
        <v>20.641777777777769</v>
      </c>
      <c r="AP127" s="178"/>
      <c r="AQ127" s="169">
        <f t="shared" ca="1" si="186"/>
        <v>65.199555555555548</v>
      </c>
      <c r="AR127" s="170">
        <f ca="1">INDEX('Cap based on indoor unit SZ'!$J$6:$J$21,MATCH(AE127,'Cap based on indoor unit SZ'!$I$6:$I$21))</f>
        <v>10.463111111111111</v>
      </c>
      <c r="AS127" s="170">
        <f ca="1">INDEX('Cap based on indoor unit SZ'!$J$6:$J$21,MATCH(AF127,'Cap based on indoor unit SZ'!$I$6:$I$21))</f>
        <v>10.463111111111111</v>
      </c>
      <c r="AT127" s="170">
        <f ca="1">INDEX('Cap based on indoor unit SZ'!$J$6:$J$21,MATCH(AG127,'Cap based on indoor unit SZ'!$I$6:$I$21))</f>
        <v>19.821111111111112</v>
      </c>
      <c r="AU127" s="170">
        <f ca="1">INDEX('Cap based on indoor unit SZ'!$J$6:$J$21,MATCH(AH127,'Cap based on indoor unit SZ'!$I$6:$I$21))</f>
        <v>24.452222222222218</v>
      </c>
      <c r="AV127" s="179"/>
      <c r="AW127" s="169">
        <f t="shared" si="140"/>
        <v>50.5</v>
      </c>
      <c r="AX127" s="170">
        <v>8</v>
      </c>
      <c r="AY127" s="170">
        <v>8</v>
      </c>
      <c r="AZ127" s="170">
        <v>14.5</v>
      </c>
      <c r="BA127" s="170">
        <v>20</v>
      </c>
      <c r="BB127" s="179"/>
      <c r="BC127" s="172">
        <f t="shared" ca="1" si="187"/>
        <v>51.604444444444425</v>
      </c>
      <c r="BD127" s="173">
        <f t="shared" ca="1" si="172"/>
        <v>7.7406666666666641</v>
      </c>
      <c r="BE127" s="173">
        <f t="shared" ca="1" si="173"/>
        <v>7.7406666666666641</v>
      </c>
      <c r="BF127" s="173">
        <f t="shared" ca="1" si="174"/>
        <v>15.481333333333328</v>
      </c>
      <c r="BG127" s="173">
        <f t="shared" ca="1" si="175"/>
        <v>20.641777777777769</v>
      </c>
      <c r="BH127" s="180"/>
      <c r="BI127" s="166">
        <f t="shared" ca="1" si="188"/>
        <v>55.836427350427357</v>
      </c>
      <c r="BJ127" s="167">
        <f t="shared" ca="1" si="176"/>
        <v>8.3754641025641039</v>
      </c>
      <c r="BK127" s="167">
        <f t="shared" ca="1" si="177"/>
        <v>8.3754641025641039</v>
      </c>
      <c r="BL127" s="167">
        <f t="shared" ca="1" si="178"/>
        <v>16.750928205128208</v>
      </c>
      <c r="BM127" s="167">
        <f t="shared" ca="1" si="179"/>
        <v>22.334570940170941</v>
      </c>
      <c r="BN127" s="178"/>
      <c r="BO127" s="169">
        <f t="shared" ca="1" si="189"/>
        <v>78.800861538461547</v>
      </c>
      <c r="BP127" s="170">
        <f ca="1">INDEX('Cap based on indoor unit SZ'!$V$43:$V$58,MATCH(AE127,'Cap based on indoor unit SZ'!$U$43:$U$58))</f>
        <v>11.956020512820512</v>
      </c>
      <c r="BQ127" s="170">
        <f ca="1">INDEX('Cap based on indoor unit SZ'!$V$43:$V$58,MATCH(AF127,'Cap based on indoor unit SZ'!$U$43:$U$58))</f>
        <v>11.956020512820512</v>
      </c>
      <c r="BR127" s="170">
        <f ca="1">INDEX('Cap based on indoor unit SZ'!$V$43:$V$58,MATCH(AG127,'Cap based on indoor unit SZ'!$U$43:$U$58))</f>
        <v>24.598820512820513</v>
      </c>
      <c r="BS127" s="170">
        <f ca="1">INDEX('Cap based on indoor unit SZ'!$V$43:$V$58,MATCH(AH127,'Cap based on indoor unit SZ'!$U$43:$U$58))</f>
        <v>30.290000000000003</v>
      </c>
      <c r="BT127" s="179"/>
      <c r="BU127" s="175">
        <v>8500</v>
      </c>
      <c r="BV127" s="175">
        <v>8500</v>
      </c>
      <c r="BW127" s="175">
        <v>15000</v>
      </c>
      <c r="BX127" s="175">
        <v>20000</v>
      </c>
      <c r="BY127" s="179"/>
      <c r="BZ127" s="172">
        <f t="shared" ca="1" si="190"/>
        <v>55.836427350427357</v>
      </c>
      <c r="CA127" s="173">
        <f t="shared" ca="1" si="180"/>
        <v>8.3754641025641039</v>
      </c>
      <c r="CB127" s="173">
        <f t="shared" ca="1" si="181"/>
        <v>8.3754641025641039</v>
      </c>
      <c r="CC127" s="173">
        <f t="shared" ca="1" si="182"/>
        <v>16.750928205128208</v>
      </c>
      <c r="CD127" s="173">
        <f t="shared" ca="1" si="183"/>
        <v>22.334570940170941</v>
      </c>
      <c r="CE127" s="180"/>
      <c r="CF127" s="166">
        <f t="shared" ca="1" si="191"/>
        <v>41.911114741587568</v>
      </c>
      <c r="CG127" s="167">
        <f t="shared" ca="1" si="192"/>
        <v>6.286667211238135</v>
      </c>
      <c r="CH127" s="167">
        <f t="shared" ca="1" si="193"/>
        <v>6.286667211238135</v>
      </c>
      <c r="CI127" s="167">
        <f t="shared" ca="1" si="166"/>
        <v>12.57333442247627</v>
      </c>
      <c r="CJ127" s="167">
        <f t="shared" ca="1" si="184"/>
        <v>16.764445896635024</v>
      </c>
      <c r="CK127" s="178"/>
    </row>
    <row r="128" spans="2:89">
      <c r="B128" s="196">
        <v>30</v>
      </c>
      <c r="C128" s="197">
        <v>69</v>
      </c>
      <c r="D128" s="197"/>
      <c r="E128" s="198" t="s">
        <v>15</v>
      </c>
      <c r="F128" s="199">
        <v>16.7</v>
      </c>
      <c r="G128" s="200">
        <v>20.65</v>
      </c>
      <c r="H128" s="200">
        <v>22.05</v>
      </c>
      <c r="I128" s="200">
        <v>24.02</v>
      </c>
      <c r="J128" s="200">
        <v>28.22</v>
      </c>
      <c r="K128" s="200">
        <v>27.67</v>
      </c>
      <c r="L128" s="201">
        <v>28.13</v>
      </c>
      <c r="M128" s="201">
        <v>31.86</v>
      </c>
      <c r="N128" s="201">
        <v>33.96</v>
      </c>
      <c r="O128" s="201">
        <v>36.08</v>
      </c>
      <c r="P128" s="201">
        <v>37.21</v>
      </c>
      <c r="Q128" s="202">
        <v>40.270000000000003</v>
      </c>
      <c r="R128" s="203">
        <f t="shared" ca="1" si="167"/>
        <v>37.346000000000004</v>
      </c>
      <c r="S128" s="152"/>
      <c r="T128" s="152"/>
      <c r="U128" s="146" t="s">
        <v>97</v>
      </c>
      <c r="V128" s="147">
        <f ca="1">TREND(R126:R129,C126:C129,INDOOR_HEAT_DB)</f>
        <v>37.124109660574412</v>
      </c>
      <c r="W128" s="145"/>
      <c r="X128" s="152"/>
      <c r="Y128" s="238"/>
      <c r="AC128" s="164" t="s">
        <v>153</v>
      </c>
      <c r="AD128" s="164">
        <v>48</v>
      </c>
      <c r="AE128" s="165">
        <v>9</v>
      </c>
      <c r="AF128" s="165">
        <v>12</v>
      </c>
      <c r="AG128" s="165">
        <v>12</v>
      </c>
      <c r="AH128" s="165">
        <v>12</v>
      </c>
      <c r="AI128" s="165"/>
      <c r="AJ128" s="501"/>
      <c r="AK128" s="166">
        <f t="shared" ca="1" si="185"/>
        <v>49.55755555555556</v>
      </c>
      <c r="AL128" s="167">
        <f t="shared" ca="1" si="168"/>
        <v>10.320888888888886</v>
      </c>
      <c r="AM128" s="167">
        <f t="shared" ca="1" si="169"/>
        <v>13.078888888888891</v>
      </c>
      <c r="AN128" s="167">
        <f t="shared" ca="1" si="170"/>
        <v>13.078888888888891</v>
      </c>
      <c r="AO128" s="167">
        <f t="shared" ca="1" si="171"/>
        <v>13.078888888888891</v>
      </c>
      <c r="AP128" s="178"/>
      <c r="AQ128" s="169">
        <f t="shared" ca="1" si="186"/>
        <v>49.699777777777783</v>
      </c>
      <c r="AR128" s="170">
        <f ca="1">INDEX('Cap based on indoor unit SZ'!$J$6:$J$21,MATCH(AE128,'Cap based on indoor unit SZ'!$I$6:$I$21))</f>
        <v>10.463111111111111</v>
      </c>
      <c r="AS128" s="170">
        <f ca="1">INDEX('Cap based on indoor unit SZ'!$J$6:$J$21,MATCH(AF128,'Cap based on indoor unit SZ'!$I$6:$I$21))</f>
        <v>13.078888888888891</v>
      </c>
      <c r="AT128" s="170">
        <f ca="1">INDEX('Cap based on indoor unit SZ'!$J$6:$J$21,MATCH(AG128,'Cap based on indoor unit SZ'!$I$6:$I$21))</f>
        <v>13.078888888888891</v>
      </c>
      <c r="AU128" s="170">
        <f ca="1">INDEX('Cap based on indoor unit SZ'!$J$6:$J$21,MATCH(AH128,'Cap based on indoor unit SZ'!$I$6:$I$21))</f>
        <v>13.078888888888891</v>
      </c>
      <c r="AV128" s="179"/>
      <c r="AW128" s="169">
        <f t="shared" si="140"/>
        <v>45</v>
      </c>
      <c r="AX128" s="170">
        <v>9</v>
      </c>
      <c r="AY128" s="170">
        <v>12</v>
      </c>
      <c r="AZ128" s="170">
        <v>12</v>
      </c>
      <c r="BA128" s="170">
        <v>12</v>
      </c>
      <c r="BB128" s="179"/>
      <c r="BC128" s="172">
        <f t="shared" ca="1" si="187"/>
        <v>51.604444444444425</v>
      </c>
      <c r="BD128" s="173">
        <f t="shared" ca="1" si="172"/>
        <v>10.320888888888886</v>
      </c>
      <c r="BE128" s="173">
        <f t="shared" ca="1" si="173"/>
        <v>13.76118518518518</v>
      </c>
      <c r="BF128" s="173">
        <f t="shared" ca="1" si="174"/>
        <v>13.76118518518518</v>
      </c>
      <c r="BG128" s="173">
        <f t="shared" ca="1" si="175"/>
        <v>13.76118518518518</v>
      </c>
      <c r="BH128" s="180"/>
      <c r="BI128" s="166">
        <f t="shared" ca="1" si="188"/>
        <v>55.836427350427371</v>
      </c>
      <c r="BJ128" s="167">
        <f t="shared" ca="1" si="176"/>
        <v>11.167285470085474</v>
      </c>
      <c r="BK128" s="167">
        <f t="shared" ca="1" si="177"/>
        <v>14.889713960113966</v>
      </c>
      <c r="BL128" s="167">
        <f t="shared" ca="1" si="178"/>
        <v>14.889713960113966</v>
      </c>
      <c r="BM128" s="167">
        <f t="shared" ca="1" si="179"/>
        <v>14.889713960113966</v>
      </c>
      <c r="BN128" s="178"/>
      <c r="BO128" s="169">
        <f t="shared" ca="1" si="189"/>
        <v>56.791097435897427</v>
      </c>
      <c r="BP128" s="170">
        <f ca="1">INDEX('Cap based on indoor unit SZ'!$V$43:$V$58,MATCH(AE128,'Cap based on indoor unit SZ'!$U$43:$U$58))</f>
        <v>11.956020512820512</v>
      </c>
      <c r="BQ128" s="170">
        <f ca="1">INDEX('Cap based on indoor unit SZ'!$V$43:$V$58,MATCH(AF128,'Cap based on indoor unit SZ'!$U$43:$U$58))</f>
        <v>14.945025641025641</v>
      </c>
      <c r="BR128" s="170">
        <f ca="1">INDEX('Cap based on indoor unit SZ'!$V$43:$V$58,MATCH(AG128,'Cap based on indoor unit SZ'!$U$43:$U$58))</f>
        <v>14.945025641025641</v>
      </c>
      <c r="BS128" s="170">
        <f ca="1">INDEX('Cap based on indoor unit SZ'!$V$43:$V$58,MATCH(AH128,'Cap based on indoor unit SZ'!$U$43:$U$58))</f>
        <v>14.945025641025641</v>
      </c>
      <c r="BT128" s="179"/>
      <c r="BU128" s="175">
        <v>9500</v>
      </c>
      <c r="BV128" s="175">
        <v>12500</v>
      </c>
      <c r="BW128" s="175">
        <v>12500</v>
      </c>
      <c r="BX128" s="175">
        <v>12500</v>
      </c>
      <c r="BY128" s="179"/>
      <c r="BZ128" s="172">
        <f t="shared" ca="1" si="190"/>
        <v>55.836427350427371</v>
      </c>
      <c r="CA128" s="173">
        <f t="shared" ca="1" si="180"/>
        <v>11.167285470085474</v>
      </c>
      <c r="CB128" s="173">
        <f t="shared" ca="1" si="181"/>
        <v>14.889713960113966</v>
      </c>
      <c r="CC128" s="173">
        <f t="shared" ca="1" si="182"/>
        <v>14.889713960113966</v>
      </c>
      <c r="CD128" s="173">
        <f t="shared" ca="1" si="183"/>
        <v>14.889713960113966</v>
      </c>
      <c r="CE128" s="180"/>
      <c r="CF128" s="166">
        <f t="shared" ca="1" si="191"/>
        <v>40.248711512387843</v>
      </c>
      <c r="CG128" s="167">
        <f t="shared" ca="1" si="192"/>
        <v>8.3822229483175139</v>
      </c>
      <c r="CH128" s="167">
        <f t="shared" ca="1" si="193"/>
        <v>10.62216285469011</v>
      </c>
      <c r="CI128" s="167">
        <f t="shared" ca="1" si="166"/>
        <v>10.62216285469011</v>
      </c>
      <c r="CJ128" s="167">
        <f t="shared" ca="1" si="184"/>
        <v>10.62216285469011</v>
      </c>
      <c r="CK128" s="178"/>
    </row>
    <row r="129" spans="2:89" ht="14.4" thickBot="1">
      <c r="B129" s="204">
        <v>30</v>
      </c>
      <c r="C129" s="205">
        <v>71.599999999999994</v>
      </c>
      <c r="D129" s="205"/>
      <c r="E129" s="206" t="s">
        <v>15</v>
      </c>
      <c r="F129" s="207">
        <v>15.51</v>
      </c>
      <c r="G129" s="208">
        <v>19.420000000000002</v>
      </c>
      <c r="H129" s="208">
        <v>21.79</v>
      </c>
      <c r="I129" s="208">
        <v>23.73</v>
      </c>
      <c r="J129" s="208">
        <v>25.99</v>
      </c>
      <c r="K129" s="208">
        <v>27.27</v>
      </c>
      <c r="L129" s="209">
        <v>27.72</v>
      </c>
      <c r="M129" s="209">
        <v>31.38</v>
      </c>
      <c r="N129" s="209">
        <v>33.450000000000003</v>
      </c>
      <c r="O129" s="209">
        <v>35.54</v>
      </c>
      <c r="P129" s="209">
        <v>36.65</v>
      </c>
      <c r="Q129" s="210">
        <v>39.67</v>
      </c>
      <c r="R129" s="211">
        <f t="shared" ca="1" si="167"/>
        <v>36.784222222222219</v>
      </c>
      <c r="S129" s="152"/>
      <c r="T129" s="152"/>
      <c r="U129" s="146"/>
      <c r="V129" s="213"/>
      <c r="W129" s="152"/>
      <c r="X129" s="152"/>
      <c r="Y129" s="240"/>
      <c r="AC129" s="164" t="s">
        <v>152</v>
      </c>
      <c r="AD129" s="164">
        <v>48</v>
      </c>
      <c r="AE129" s="165">
        <v>9</v>
      </c>
      <c r="AF129" s="165">
        <v>12</v>
      </c>
      <c r="AG129" s="165">
        <v>12</v>
      </c>
      <c r="AH129" s="165">
        <v>18</v>
      </c>
      <c r="AI129" s="165"/>
      <c r="AJ129" s="501"/>
      <c r="AK129" s="166">
        <f t="shared" ca="1" si="185"/>
        <v>51.604444444444425</v>
      </c>
      <c r="AL129" s="167">
        <f t="shared" ca="1" si="168"/>
        <v>9.1066666666666638</v>
      </c>
      <c r="AM129" s="167">
        <f t="shared" ca="1" si="169"/>
        <v>12.142222222222218</v>
      </c>
      <c r="AN129" s="167">
        <f t="shared" ca="1" si="170"/>
        <v>12.142222222222218</v>
      </c>
      <c r="AO129" s="167">
        <f t="shared" ca="1" si="171"/>
        <v>18.213333333333328</v>
      </c>
      <c r="AP129" s="178"/>
      <c r="AQ129" s="169">
        <f t="shared" ca="1" si="186"/>
        <v>56.442000000000007</v>
      </c>
      <c r="AR129" s="170">
        <f ca="1">INDEX('Cap based on indoor unit SZ'!$J$6:$J$21,MATCH(AE129,'Cap based on indoor unit SZ'!$I$6:$I$21))</f>
        <v>10.463111111111111</v>
      </c>
      <c r="AS129" s="170">
        <f ca="1">INDEX('Cap based on indoor unit SZ'!$J$6:$J$21,MATCH(AF129,'Cap based on indoor unit SZ'!$I$6:$I$21))</f>
        <v>13.078888888888891</v>
      </c>
      <c r="AT129" s="170">
        <f ca="1">INDEX('Cap based on indoor unit SZ'!$J$6:$J$21,MATCH(AG129,'Cap based on indoor unit SZ'!$I$6:$I$21))</f>
        <v>13.078888888888891</v>
      </c>
      <c r="AU129" s="170">
        <f ca="1">INDEX('Cap based on indoor unit SZ'!$J$6:$J$21,MATCH(AH129,'Cap based on indoor unit SZ'!$I$6:$I$21))</f>
        <v>19.821111111111112</v>
      </c>
      <c r="AV129" s="179"/>
      <c r="AW129" s="169">
        <f t="shared" si="140"/>
        <v>47</v>
      </c>
      <c r="AX129" s="170">
        <v>9</v>
      </c>
      <c r="AY129" s="170">
        <v>11</v>
      </c>
      <c r="AZ129" s="170">
        <v>11</v>
      </c>
      <c r="BA129" s="170">
        <v>16</v>
      </c>
      <c r="BB129" s="179"/>
      <c r="BC129" s="172">
        <f t="shared" ca="1" si="187"/>
        <v>51.604444444444425</v>
      </c>
      <c r="BD129" s="173">
        <f t="shared" ca="1" si="172"/>
        <v>9.1066666666666638</v>
      </c>
      <c r="BE129" s="173">
        <f t="shared" ca="1" si="173"/>
        <v>12.142222222222218</v>
      </c>
      <c r="BF129" s="173">
        <f t="shared" ca="1" si="174"/>
        <v>12.142222222222218</v>
      </c>
      <c r="BG129" s="173">
        <f t="shared" ca="1" si="175"/>
        <v>18.213333333333328</v>
      </c>
      <c r="BH129" s="180"/>
      <c r="BI129" s="166">
        <f t="shared" ca="1" si="188"/>
        <v>55.836427350427364</v>
      </c>
      <c r="BJ129" s="167">
        <f t="shared" ca="1" si="176"/>
        <v>9.8534871794871819</v>
      </c>
      <c r="BK129" s="167">
        <f t="shared" ca="1" si="177"/>
        <v>13.137982905982909</v>
      </c>
      <c r="BL129" s="167">
        <f t="shared" ca="1" si="178"/>
        <v>13.137982905982909</v>
      </c>
      <c r="BM129" s="167">
        <f t="shared" ca="1" si="179"/>
        <v>19.706974358974364</v>
      </c>
      <c r="BN129" s="178"/>
      <c r="BO129" s="169">
        <f t="shared" ca="1" si="189"/>
        <v>66.444892307692299</v>
      </c>
      <c r="BP129" s="170">
        <f ca="1">INDEX('Cap based on indoor unit SZ'!$V$43:$V$58,MATCH(AE129,'Cap based on indoor unit SZ'!$U$43:$U$58))</f>
        <v>11.956020512820512</v>
      </c>
      <c r="BQ129" s="170">
        <f ca="1">INDEX('Cap based on indoor unit SZ'!$V$43:$V$58,MATCH(AF129,'Cap based on indoor unit SZ'!$U$43:$U$58))</f>
        <v>14.945025641025641</v>
      </c>
      <c r="BR129" s="170">
        <f ca="1">INDEX('Cap based on indoor unit SZ'!$V$43:$V$58,MATCH(AG129,'Cap based on indoor unit SZ'!$U$43:$U$58))</f>
        <v>14.945025641025641</v>
      </c>
      <c r="BS129" s="170">
        <f ca="1">INDEX('Cap based on indoor unit SZ'!$V$43:$V$58,MATCH(AH129,'Cap based on indoor unit SZ'!$U$43:$U$58))</f>
        <v>24.598820512820513</v>
      </c>
      <c r="BT129" s="179"/>
      <c r="BU129" s="175">
        <v>9500</v>
      </c>
      <c r="BV129" s="175">
        <v>11500</v>
      </c>
      <c r="BW129" s="175">
        <v>11500</v>
      </c>
      <c r="BX129" s="175">
        <v>16500</v>
      </c>
      <c r="BY129" s="179"/>
      <c r="BZ129" s="172">
        <f t="shared" ca="1" si="190"/>
        <v>55.836427350427364</v>
      </c>
      <c r="CA129" s="173">
        <f t="shared" ca="1" si="180"/>
        <v>9.8534871794871819</v>
      </c>
      <c r="CB129" s="173">
        <f t="shared" ca="1" si="181"/>
        <v>13.137982905982909</v>
      </c>
      <c r="CC129" s="173">
        <f t="shared" ca="1" si="182"/>
        <v>13.137982905982909</v>
      </c>
      <c r="CD129" s="173">
        <f t="shared" ca="1" si="183"/>
        <v>19.706974358974364</v>
      </c>
      <c r="CE129" s="180"/>
      <c r="CF129" s="166">
        <f t="shared" ca="1" si="191"/>
        <v>41.911114741587568</v>
      </c>
      <c r="CG129" s="167">
        <f t="shared" ca="1" si="192"/>
        <v>7.3960790720448646</v>
      </c>
      <c r="CH129" s="167">
        <f t="shared" ca="1" si="193"/>
        <v>9.8614387627264861</v>
      </c>
      <c r="CI129" s="167">
        <f t="shared" ca="1" si="166"/>
        <v>9.8614387627264861</v>
      </c>
      <c r="CJ129" s="167">
        <f t="shared" ca="1" si="184"/>
        <v>14.792158144089729</v>
      </c>
      <c r="CK129" s="178"/>
    </row>
    <row r="130" spans="2:89">
      <c r="B130" s="188">
        <v>36</v>
      </c>
      <c r="C130" s="189">
        <v>59</v>
      </c>
      <c r="D130" s="189"/>
      <c r="E130" s="190" t="s">
        <v>15</v>
      </c>
      <c r="F130" s="191">
        <v>23.82</v>
      </c>
      <c r="G130" s="192">
        <v>28.67</v>
      </c>
      <c r="H130" s="192">
        <v>30.78</v>
      </c>
      <c r="I130" s="192">
        <v>33.61</v>
      </c>
      <c r="J130" s="192">
        <v>36.659999999999997</v>
      </c>
      <c r="K130" s="192">
        <v>39.29</v>
      </c>
      <c r="L130" s="193">
        <v>39.909999999999997</v>
      </c>
      <c r="M130" s="193">
        <v>41.15</v>
      </c>
      <c r="N130" s="193">
        <v>43.1</v>
      </c>
      <c r="O130" s="193">
        <v>45.78</v>
      </c>
      <c r="P130" s="193">
        <v>56.86</v>
      </c>
      <c r="Q130" s="194">
        <v>62.85</v>
      </c>
      <c r="R130" s="195">
        <f t="shared" ca="1" si="167"/>
        <v>57.126222222222225</v>
      </c>
      <c r="S130" s="152"/>
      <c r="T130" s="152"/>
      <c r="U130" s="146" t="s">
        <v>96</v>
      </c>
      <c r="V130" s="147">
        <f ca="1">FORECAST(INDOOR_HEAT_DB,OFFSET(R130:R133,MATCH(INDOOR_HEAT_DB,C130:C133,1)-1,0,2),OFFSET(C130:C133,MATCH(INDOOR_HEAT_DB,C130:C133,1)-1,0,2))</f>
        <v>50.32039316239316</v>
      </c>
      <c r="W130" s="145">
        <f>B130</f>
        <v>36</v>
      </c>
      <c r="X130" s="147">
        <f ca="1">IF(OR(INDOOR_HEAT_DB&lt;C130,INDOOR_HEAT_DB&gt;C133),V132,V130)</f>
        <v>50.32039316239316</v>
      </c>
      <c r="Y130" s="238"/>
      <c r="AC130" s="164" t="s">
        <v>151</v>
      </c>
      <c r="AD130" s="164">
        <v>48</v>
      </c>
      <c r="AE130" s="165">
        <v>9</v>
      </c>
      <c r="AF130" s="165">
        <v>12</v>
      </c>
      <c r="AG130" s="165">
        <v>12</v>
      </c>
      <c r="AH130" s="165">
        <v>24</v>
      </c>
      <c r="AI130" s="165"/>
      <c r="AJ130" s="501"/>
      <c r="AK130" s="166">
        <f t="shared" ca="1" si="185"/>
        <v>51.604444444444439</v>
      </c>
      <c r="AL130" s="167">
        <f t="shared" ca="1" si="168"/>
        <v>8.1480701754385958</v>
      </c>
      <c r="AM130" s="167">
        <f t="shared" ca="1" si="169"/>
        <v>10.86409356725146</v>
      </c>
      <c r="AN130" s="167">
        <f t="shared" ca="1" si="170"/>
        <v>10.86409356725146</v>
      </c>
      <c r="AO130" s="167">
        <f t="shared" ca="1" si="171"/>
        <v>21.728187134502921</v>
      </c>
      <c r="AP130" s="178"/>
      <c r="AQ130" s="169">
        <f t="shared" ca="1" si="186"/>
        <v>61.07311111111111</v>
      </c>
      <c r="AR130" s="170">
        <f ca="1">INDEX('Cap based on indoor unit SZ'!$J$6:$J$21,MATCH(AE130,'Cap based on indoor unit SZ'!$I$6:$I$21))</f>
        <v>10.463111111111111</v>
      </c>
      <c r="AS130" s="170">
        <f ca="1">INDEX('Cap based on indoor unit SZ'!$J$6:$J$21,MATCH(AF130,'Cap based on indoor unit SZ'!$I$6:$I$21))</f>
        <v>13.078888888888891</v>
      </c>
      <c r="AT130" s="170">
        <f ca="1">INDEX('Cap based on indoor unit SZ'!$J$6:$J$21,MATCH(AG130,'Cap based on indoor unit SZ'!$I$6:$I$21))</f>
        <v>13.078888888888891</v>
      </c>
      <c r="AU130" s="170">
        <f ca="1">INDEX('Cap based on indoor unit SZ'!$J$6:$J$21,MATCH(AH130,'Cap based on indoor unit SZ'!$I$6:$I$21))</f>
        <v>24.452222222222218</v>
      </c>
      <c r="AV130" s="179"/>
      <c r="AW130" s="169">
        <f t="shared" si="140"/>
        <v>48.5</v>
      </c>
      <c r="AX130" s="170">
        <v>8.5</v>
      </c>
      <c r="AY130" s="170">
        <v>10</v>
      </c>
      <c r="AZ130" s="170">
        <v>10</v>
      </c>
      <c r="BA130" s="170">
        <v>20</v>
      </c>
      <c r="BB130" s="179"/>
      <c r="BC130" s="172">
        <f t="shared" ca="1" si="187"/>
        <v>51.604444444444439</v>
      </c>
      <c r="BD130" s="173">
        <f t="shared" ca="1" si="172"/>
        <v>8.1480701754385958</v>
      </c>
      <c r="BE130" s="173">
        <f t="shared" ca="1" si="173"/>
        <v>10.86409356725146</v>
      </c>
      <c r="BF130" s="173">
        <f t="shared" ca="1" si="174"/>
        <v>10.86409356725146</v>
      </c>
      <c r="BG130" s="173">
        <f t="shared" ca="1" si="175"/>
        <v>21.728187134502921</v>
      </c>
      <c r="BH130" s="180"/>
      <c r="BI130" s="166">
        <f t="shared" ca="1" si="188"/>
        <v>55.836427350427364</v>
      </c>
      <c r="BJ130" s="167">
        <f t="shared" ca="1" si="176"/>
        <v>8.8162780026990575</v>
      </c>
      <c r="BK130" s="167">
        <f t="shared" ca="1" si="177"/>
        <v>11.755037336932077</v>
      </c>
      <c r="BL130" s="167">
        <f t="shared" ca="1" si="178"/>
        <v>11.755037336932077</v>
      </c>
      <c r="BM130" s="167">
        <f t="shared" ca="1" si="179"/>
        <v>23.510074673864153</v>
      </c>
      <c r="BN130" s="178"/>
      <c r="BO130" s="169">
        <f t="shared" ca="1" si="189"/>
        <v>72.136071794871796</v>
      </c>
      <c r="BP130" s="170">
        <f ca="1">INDEX('Cap based on indoor unit SZ'!$V$43:$V$58,MATCH(AE130,'Cap based on indoor unit SZ'!$U$43:$U$58))</f>
        <v>11.956020512820512</v>
      </c>
      <c r="BQ130" s="170">
        <f ca="1">INDEX('Cap based on indoor unit SZ'!$V$43:$V$58,MATCH(AF130,'Cap based on indoor unit SZ'!$U$43:$U$58))</f>
        <v>14.945025641025641</v>
      </c>
      <c r="BR130" s="170">
        <f ca="1">INDEX('Cap based on indoor unit SZ'!$V$43:$V$58,MATCH(AG130,'Cap based on indoor unit SZ'!$U$43:$U$58))</f>
        <v>14.945025641025641</v>
      </c>
      <c r="BS130" s="170">
        <f ca="1">INDEX('Cap based on indoor unit SZ'!$V$43:$V$58,MATCH(AH130,'Cap based on indoor unit SZ'!$U$43:$U$58))</f>
        <v>30.290000000000003</v>
      </c>
      <c r="BT130" s="179"/>
      <c r="BU130" s="175">
        <v>9000</v>
      </c>
      <c r="BV130" s="175">
        <v>10500</v>
      </c>
      <c r="BW130" s="175">
        <v>10500</v>
      </c>
      <c r="BX130" s="175">
        <v>20500</v>
      </c>
      <c r="BY130" s="179"/>
      <c r="BZ130" s="172">
        <f t="shared" ca="1" si="190"/>
        <v>55.836427350427364</v>
      </c>
      <c r="CA130" s="173">
        <f t="shared" ca="1" si="180"/>
        <v>8.8162780026990575</v>
      </c>
      <c r="CB130" s="173">
        <f t="shared" ca="1" si="181"/>
        <v>11.755037336932077</v>
      </c>
      <c r="CC130" s="173">
        <f t="shared" ca="1" si="182"/>
        <v>11.755037336932077</v>
      </c>
      <c r="CD130" s="173">
        <f t="shared" ca="1" si="183"/>
        <v>23.510074673864153</v>
      </c>
      <c r="CE130" s="180"/>
      <c r="CF130" s="166">
        <f t="shared" ca="1" si="191"/>
        <v>41.911114741587575</v>
      </c>
      <c r="CG130" s="167">
        <f t="shared" ca="1" si="192"/>
        <v>6.6175444328822488</v>
      </c>
      <c r="CH130" s="167">
        <f t="shared" ca="1" si="193"/>
        <v>8.8233925771763317</v>
      </c>
      <c r="CI130" s="167">
        <f t="shared" ca="1" si="166"/>
        <v>8.8233925771763317</v>
      </c>
      <c r="CJ130" s="167">
        <f t="shared" ca="1" si="184"/>
        <v>17.646785154352663</v>
      </c>
      <c r="CK130" s="178"/>
    </row>
    <row r="131" spans="2:89">
      <c r="B131" s="196">
        <v>36</v>
      </c>
      <c r="C131" s="197">
        <v>64.400000000000006</v>
      </c>
      <c r="D131" s="197"/>
      <c r="E131" s="198" t="s">
        <v>15</v>
      </c>
      <c r="F131" s="199">
        <v>23.52</v>
      </c>
      <c r="G131" s="200">
        <v>28.29</v>
      </c>
      <c r="H131" s="200">
        <v>30.37</v>
      </c>
      <c r="I131" s="200">
        <v>33.15</v>
      </c>
      <c r="J131" s="200">
        <v>36.15</v>
      </c>
      <c r="K131" s="200">
        <v>38.700000000000003</v>
      </c>
      <c r="L131" s="201">
        <v>39.31</v>
      </c>
      <c r="M131" s="201">
        <v>40.53</v>
      </c>
      <c r="N131" s="201">
        <v>42.46</v>
      </c>
      <c r="O131" s="201">
        <v>45.09</v>
      </c>
      <c r="P131" s="201">
        <v>56.01</v>
      </c>
      <c r="Q131" s="202">
        <v>61.91</v>
      </c>
      <c r="R131" s="203">
        <f t="shared" ca="1" si="167"/>
        <v>56.272222222222211</v>
      </c>
      <c r="S131" s="152"/>
      <c r="T131" s="152"/>
      <c r="U131" s="146"/>
      <c r="V131" s="148"/>
      <c r="W131" s="145"/>
      <c r="X131" s="152"/>
      <c r="Y131" s="238"/>
      <c r="AC131" s="164" t="s">
        <v>150</v>
      </c>
      <c r="AD131" s="164">
        <v>48</v>
      </c>
      <c r="AE131" s="165">
        <v>9</v>
      </c>
      <c r="AF131" s="165">
        <v>12</v>
      </c>
      <c r="AG131" s="165">
        <v>18</v>
      </c>
      <c r="AH131" s="165">
        <v>18</v>
      </c>
      <c r="AI131" s="165"/>
      <c r="AJ131" s="501"/>
      <c r="AK131" s="166">
        <f t="shared" ca="1" si="185"/>
        <v>51.604444444444432</v>
      </c>
      <c r="AL131" s="167">
        <f t="shared" ca="1" si="168"/>
        <v>8.148070175438594</v>
      </c>
      <c r="AM131" s="167">
        <f t="shared" ca="1" si="169"/>
        <v>10.864093567251459</v>
      </c>
      <c r="AN131" s="167">
        <f t="shared" ca="1" si="170"/>
        <v>16.296140350877188</v>
      </c>
      <c r="AO131" s="167">
        <f t="shared" ca="1" si="171"/>
        <v>16.296140350877188</v>
      </c>
      <c r="AP131" s="178"/>
      <c r="AQ131" s="169">
        <f t="shared" ca="1" si="186"/>
        <v>63.184222222222218</v>
      </c>
      <c r="AR131" s="170">
        <f ca="1">INDEX('Cap based on indoor unit SZ'!$J$6:$J$21,MATCH(AE131,'Cap based on indoor unit SZ'!$I$6:$I$21))</f>
        <v>10.463111111111111</v>
      </c>
      <c r="AS131" s="170">
        <f ca="1">INDEX('Cap based on indoor unit SZ'!$J$6:$J$21,MATCH(AF131,'Cap based on indoor unit SZ'!$I$6:$I$21))</f>
        <v>13.078888888888891</v>
      </c>
      <c r="AT131" s="170">
        <f ca="1">INDEX('Cap based on indoor unit SZ'!$J$6:$J$21,MATCH(AG131,'Cap based on indoor unit SZ'!$I$6:$I$21))</f>
        <v>19.821111111111112</v>
      </c>
      <c r="AU131" s="170">
        <f ca="1">INDEX('Cap based on indoor unit SZ'!$J$6:$J$21,MATCH(AH131,'Cap based on indoor unit SZ'!$I$6:$I$21))</f>
        <v>19.821111111111112</v>
      </c>
      <c r="AV131" s="179"/>
      <c r="AW131" s="169">
        <f t="shared" si="140"/>
        <v>48.5</v>
      </c>
      <c r="AX131" s="170">
        <v>8.5</v>
      </c>
      <c r="AY131" s="170">
        <v>10</v>
      </c>
      <c r="AZ131" s="170">
        <v>15</v>
      </c>
      <c r="BA131" s="170">
        <v>15</v>
      </c>
      <c r="BB131" s="179"/>
      <c r="BC131" s="172">
        <f t="shared" ca="1" si="187"/>
        <v>51.604444444444432</v>
      </c>
      <c r="BD131" s="173">
        <f t="shared" ca="1" si="172"/>
        <v>8.148070175438594</v>
      </c>
      <c r="BE131" s="173">
        <f t="shared" ca="1" si="173"/>
        <v>10.864093567251459</v>
      </c>
      <c r="BF131" s="173">
        <f t="shared" ca="1" si="174"/>
        <v>16.296140350877188</v>
      </c>
      <c r="BG131" s="173">
        <f t="shared" ca="1" si="175"/>
        <v>16.296140350877188</v>
      </c>
      <c r="BH131" s="180"/>
      <c r="BI131" s="166">
        <f t="shared" ca="1" si="188"/>
        <v>55.836427350427364</v>
      </c>
      <c r="BJ131" s="167">
        <f t="shared" ca="1" si="176"/>
        <v>8.8162780026990575</v>
      </c>
      <c r="BK131" s="167">
        <f t="shared" ca="1" si="177"/>
        <v>11.755037336932077</v>
      </c>
      <c r="BL131" s="167">
        <f t="shared" ca="1" si="178"/>
        <v>17.632556005398115</v>
      </c>
      <c r="BM131" s="167">
        <f t="shared" ca="1" si="179"/>
        <v>17.632556005398115</v>
      </c>
      <c r="BN131" s="178"/>
      <c r="BO131" s="169">
        <f t="shared" ca="1" si="189"/>
        <v>76.098687179487172</v>
      </c>
      <c r="BP131" s="170">
        <f ca="1">INDEX('Cap based on indoor unit SZ'!$V$43:$V$58,MATCH(AE131,'Cap based on indoor unit SZ'!$U$43:$U$58))</f>
        <v>11.956020512820512</v>
      </c>
      <c r="BQ131" s="170">
        <f ca="1">INDEX('Cap based on indoor unit SZ'!$V$43:$V$58,MATCH(AF131,'Cap based on indoor unit SZ'!$U$43:$U$58))</f>
        <v>14.945025641025641</v>
      </c>
      <c r="BR131" s="170">
        <f ca="1">INDEX('Cap based on indoor unit SZ'!$V$43:$V$58,MATCH(AG131,'Cap based on indoor unit SZ'!$U$43:$U$58))</f>
        <v>24.598820512820513</v>
      </c>
      <c r="BS131" s="170">
        <f ca="1">INDEX('Cap based on indoor unit SZ'!$V$43:$V$58,MATCH(AH131,'Cap based on indoor unit SZ'!$U$43:$U$58))</f>
        <v>24.598820512820513</v>
      </c>
      <c r="BT131" s="179"/>
      <c r="BU131" s="175">
        <v>9000</v>
      </c>
      <c r="BV131" s="175">
        <v>10500</v>
      </c>
      <c r="BW131" s="175">
        <v>15500</v>
      </c>
      <c r="BX131" s="175">
        <v>15500</v>
      </c>
      <c r="BY131" s="179"/>
      <c r="BZ131" s="172">
        <f t="shared" ca="1" si="190"/>
        <v>55.836427350427364</v>
      </c>
      <c r="CA131" s="173">
        <f t="shared" ca="1" si="180"/>
        <v>8.8162780026990575</v>
      </c>
      <c r="CB131" s="173">
        <f t="shared" ca="1" si="181"/>
        <v>11.755037336932077</v>
      </c>
      <c r="CC131" s="173">
        <f t="shared" ca="1" si="182"/>
        <v>17.632556005398115</v>
      </c>
      <c r="CD131" s="173">
        <f t="shared" ca="1" si="183"/>
        <v>17.632556005398115</v>
      </c>
      <c r="CE131" s="180"/>
      <c r="CF131" s="166">
        <f t="shared" ca="1" si="191"/>
        <v>41.911114741587568</v>
      </c>
      <c r="CG131" s="167">
        <f t="shared" ca="1" si="192"/>
        <v>6.617544432882247</v>
      </c>
      <c r="CH131" s="167">
        <f t="shared" ca="1" si="193"/>
        <v>8.82339257717633</v>
      </c>
      <c r="CI131" s="167">
        <f t="shared" ca="1" si="166"/>
        <v>13.235088865764494</v>
      </c>
      <c r="CJ131" s="167">
        <f t="shared" ca="1" si="184"/>
        <v>13.235088865764494</v>
      </c>
      <c r="CK131" s="178"/>
    </row>
    <row r="132" spans="2:89">
      <c r="B132" s="196">
        <v>36</v>
      </c>
      <c r="C132" s="197">
        <v>69</v>
      </c>
      <c r="D132" s="197"/>
      <c r="E132" s="198" t="s">
        <v>15</v>
      </c>
      <c r="F132" s="199">
        <v>23.03</v>
      </c>
      <c r="G132" s="200">
        <v>27.69</v>
      </c>
      <c r="H132" s="200">
        <v>29.04</v>
      </c>
      <c r="I132" s="200">
        <v>31.77</v>
      </c>
      <c r="J132" s="200">
        <v>36.08</v>
      </c>
      <c r="K132" s="200">
        <v>37.409999999999997</v>
      </c>
      <c r="L132" s="201">
        <v>37.75</v>
      </c>
      <c r="M132" s="201">
        <v>39.770000000000003</v>
      </c>
      <c r="N132" s="201">
        <v>42.39</v>
      </c>
      <c r="O132" s="201">
        <v>46.46</v>
      </c>
      <c r="P132" s="201">
        <v>50.54</v>
      </c>
      <c r="Q132" s="202">
        <v>54.37</v>
      </c>
      <c r="R132" s="203">
        <f t="shared" ca="1" si="167"/>
        <v>50.710222222222221</v>
      </c>
      <c r="S132" s="152"/>
      <c r="T132" s="152"/>
      <c r="U132" s="146" t="s">
        <v>97</v>
      </c>
      <c r="V132" s="147">
        <f ca="1">TREND(R130:R133,C130:C133,INDOOR_HEAT_DB)</f>
        <v>50.862686200560866</v>
      </c>
      <c r="W132" s="145"/>
      <c r="X132" s="152"/>
      <c r="Y132" s="239"/>
      <c r="AC132" s="164" t="s">
        <v>149</v>
      </c>
      <c r="AD132" s="164">
        <v>48</v>
      </c>
      <c r="AE132" s="165">
        <v>9</v>
      </c>
      <c r="AF132" s="165">
        <v>18</v>
      </c>
      <c r="AG132" s="165">
        <v>18</v>
      </c>
      <c r="AH132" s="165">
        <v>18</v>
      </c>
      <c r="AI132" s="165"/>
      <c r="AJ132" s="501"/>
      <c r="AK132" s="166">
        <f t="shared" ca="1" si="185"/>
        <v>51.604444444444425</v>
      </c>
      <c r="AL132" s="167">
        <f t="shared" ca="1" si="168"/>
        <v>7.3720634920634893</v>
      </c>
      <c r="AM132" s="167">
        <f t="shared" ca="1" si="169"/>
        <v>14.744126984126979</v>
      </c>
      <c r="AN132" s="167">
        <f t="shared" ca="1" si="170"/>
        <v>14.744126984126979</v>
      </c>
      <c r="AO132" s="167">
        <f t="shared" ca="1" si="171"/>
        <v>14.744126984126979</v>
      </c>
      <c r="AP132" s="178"/>
      <c r="AQ132" s="169">
        <f t="shared" ca="1" si="186"/>
        <v>69.926444444444442</v>
      </c>
      <c r="AR132" s="170">
        <f ca="1">INDEX('Cap based on indoor unit SZ'!$J$6:$J$21,MATCH(AE132,'Cap based on indoor unit SZ'!$I$6:$I$21))</f>
        <v>10.463111111111111</v>
      </c>
      <c r="AS132" s="170">
        <f ca="1">INDEX('Cap based on indoor unit SZ'!$J$6:$J$21,MATCH(AF132,'Cap based on indoor unit SZ'!$I$6:$I$21))</f>
        <v>19.821111111111112</v>
      </c>
      <c r="AT132" s="170">
        <f ca="1">INDEX('Cap based on indoor unit SZ'!$J$6:$J$21,MATCH(AG132,'Cap based on indoor unit SZ'!$I$6:$I$21))</f>
        <v>19.821111111111112</v>
      </c>
      <c r="AU132" s="170">
        <f ca="1">INDEX('Cap based on indoor unit SZ'!$J$6:$J$21,MATCH(AH132,'Cap based on indoor unit SZ'!$I$6:$I$21))</f>
        <v>19.821111111111112</v>
      </c>
      <c r="AV132" s="179"/>
      <c r="AW132" s="169">
        <f t="shared" si="140"/>
        <v>50</v>
      </c>
      <c r="AX132" s="170">
        <v>8</v>
      </c>
      <c r="AY132" s="170">
        <v>14</v>
      </c>
      <c r="AZ132" s="170">
        <v>14</v>
      </c>
      <c r="BA132" s="170">
        <v>14</v>
      </c>
      <c r="BB132" s="179"/>
      <c r="BC132" s="172">
        <f t="shared" ca="1" si="187"/>
        <v>51.604444444444425</v>
      </c>
      <c r="BD132" s="173">
        <f t="shared" ca="1" si="172"/>
        <v>7.3720634920634893</v>
      </c>
      <c r="BE132" s="173">
        <f t="shared" ca="1" si="173"/>
        <v>14.744126984126979</v>
      </c>
      <c r="BF132" s="173">
        <f t="shared" ca="1" si="174"/>
        <v>14.744126984126979</v>
      </c>
      <c r="BG132" s="173">
        <f t="shared" ca="1" si="175"/>
        <v>14.744126984126979</v>
      </c>
      <c r="BH132" s="180"/>
      <c r="BI132" s="166">
        <f t="shared" ca="1" si="188"/>
        <v>55.836427350427357</v>
      </c>
      <c r="BJ132" s="167">
        <f t="shared" ca="1" si="176"/>
        <v>7.9766324786324798</v>
      </c>
      <c r="BK132" s="167">
        <f t="shared" ca="1" si="177"/>
        <v>15.95326495726496</v>
      </c>
      <c r="BL132" s="167">
        <f t="shared" ca="1" si="178"/>
        <v>15.95326495726496</v>
      </c>
      <c r="BM132" s="167">
        <f t="shared" ca="1" si="179"/>
        <v>15.95326495726496</v>
      </c>
      <c r="BN132" s="178"/>
      <c r="BO132" s="169">
        <f t="shared" ca="1" si="189"/>
        <v>85.752482051282044</v>
      </c>
      <c r="BP132" s="170">
        <f ca="1">INDEX('Cap based on indoor unit SZ'!$V$43:$V$58,MATCH(AE132,'Cap based on indoor unit SZ'!$U$43:$U$58))</f>
        <v>11.956020512820512</v>
      </c>
      <c r="BQ132" s="170">
        <f ca="1">INDEX('Cap based on indoor unit SZ'!$V$43:$V$58,MATCH(AF132,'Cap based on indoor unit SZ'!$U$43:$U$58))</f>
        <v>24.598820512820513</v>
      </c>
      <c r="BR132" s="170">
        <f ca="1">INDEX('Cap based on indoor unit SZ'!$V$43:$V$58,MATCH(AG132,'Cap based on indoor unit SZ'!$U$43:$U$58))</f>
        <v>24.598820512820513</v>
      </c>
      <c r="BS132" s="170">
        <f ca="1">INDEX('Cap based on indoor unit SZ'!$V$43:$V$58,MATCH(AH132,'Cap based on indoor unit SZ'!$U$43:$U$58))</f>
        <v>24.598820512820513</v>
      </c>
      <c r="BT132" s="179"/>
      <c r="BU132" s="175">
        <v>8500</v>
      </c>
      <c r="BV132" s="175">
        <v>14500</v>
      </c>
      <c r="BW132" s="175">
        <v>14500</v>
      </c>
      <c r="BX132" s="175">
        <v>14500</v>
      </c>
      <c r="BY132" s="179"/>
      <c r="BZ132" s="172">
        <f t="shared" ca="1" si="190"/>
        <v>55.836427350427357</v>
      </c>
      <c r="CA132" s="173">
        <f t="shared" ca="1" si="180"/>
        <v>7.9766324786324798</v>
      </c>
      <c r="CB132" s="173">
        <f t="shared" ca="1" si="181"/>
        <v>15.95326495726496</v>
      </c>
      <c r="CC132" s="173">
        <f t="shared" ca="1" si="182"/>
        <v>15.95326495726496</v>
      </c>
      <c r="CD132" s="173">
        <f t="shared" ca="1" si="183"/>
        <v>15.95326495726496</v>
      </c>
      <c r="CE132" s="180"/>
      <c r="CF132" s="166">
        <f t="shared" ca="1" si="191"/>
        <v>41.911114741587561</v>
      </c>
      <c r="CG132" s="167">
        <f t="shared" ca="1" si="192"/>
        <v>5.9873021059410805</v>
      </c>
      <c r="CH132" s="167">
        <f t="shared" ca="1" si="193"/>
        <v>11.974604211882161</v>
      </c>
      <c r="CI132" s="167">
        <f t="shared" ca="1" si="166"/>
        <v>11.974604211882161</v>
      </c>
      <c r="CJ132" s="167">
        <f t="shared" ca="1" si="184"/>
        <v>11.974604211882161</v>
      </c>
      <c r="CK132" s="178"/>
    </row>
    <row r="133" spans="2:89" ht="14.4" thickBot="1">
      <c r="B133" s="204">
        <v>36</v>
      </c>
      <c r="C133" s="205">
        <v>71.599999999999994</v>
      </c>
      <c r="D133" s="205"/>
      <c r="E133" s="206" t="s">
        <v>15</v>
      </c>
      <c r="F133" s="207">
        <v>22.63</v>
      </c>
      <c r="G133" s="208">
        <v>27.2</v>
      </c>
      <c r="H133" s="208">
        <v>28.52</v>
      </c>
      <c r="I133" s="208">
        <v>31.2</v>
      </c>
      <c r="J133" s="208">
        <v>34.64</v>
      </c>
      <c r="K133" s="208">
        <v>36.659999999999997</v>
      </c>
      <c r="L133" s="209">
        <v>36.99</v>
      </c>
      <c r="M133" s="209">
        <v>38.97</v>
      </c>
      <c r="N133" s="209">
        <v>41.54</v>
      </c>
      <c r="O133" s="209">
        <v>45.53</v>
      </c>
      <c r="P133" s="209">
        <v>49.53</v>
      </c>
      <c r="Q133" s="210">
        <v>53.28</v>
      </c>
      <c r="R133" s="211">
        <f t="shared" ca="1" si="167"/>
        <v>49.696666666666665</v>
      </c>
      <c r="S133" s="152"/>
      <c r="T133" s="152"/>
      <c r="U133" s="146"/>
      <c r="V133" s="152"/>
      <c r="W133" s="152"/>
      <c r="X133" s="152"/>
      <c r="Y133" s="238"/>
      <c r="AC133" s="164" t="s">
        <v>148</v>
      </c>
      <c r="AD133" s="164">
        <v>48</v>
      </c>
      <c r="AE133" s="165">
        <v>12</v>
      </c>
      <c r="AF133" s="165">
        <v>12</v>
      </c>
      <c r="AG133" s="165">
        <v>12</v>
      </c>
      <c r="AH133" s="165">
        <v>12</v>
      </c>
      <c r="AI133" s="165"/>
      <c r="AJ133" s="501"/>
      <c r="AK133" s="166">
        <f t="shared" ca="1" si="185"/>
        <v>51.604444444444425</v>
      </c>
      <c r="AL133" s="167">
        <f t="shared" ca="1" si="168"/>
        <v>12.901111111111106</v>
      </c>
      <c r="AM133" s="167">
        <f t="shared" ca="1" si="169"/>
        <v>12.901111111111106</v>
      </c>
      <c r="AN133" s="167">
        <f t="shared" ca="1" si="170"/>
        <v>12.901111111111106</v>
      </c>
      <c r="AO133" s="167">
        <f t="shared" ca="1" si="171"/>
        <v>12.901111111111106</v>
      </c>
      <c r="AP133" s="178"/>
      <c r="AQ133" s="169">
        <f t="shared" ca="1" si="186"/>
        <v>52.315555555555562</v>
      </c>
      <c r="AR133" s="170">
        <f ca="1">INDEX('Cap based on indoor unit SZ'!$J$6:$J$21,MATCH(AE133,'Cap based on indoor unit SZ'!$I$6:$I$21))</f>
        <v>13.078888888888891</v>
      </c>
      <c r="AS133" s="170">
        <f ca="1">INDEX('Cap based on indoor unit SZ'!$J$6:$J$21,MATCH(AF133,'Cap based on indoor unit SZ'!$I$6:$I$21))</f>
        <v>13.078888888888891</v>
      </c>
      <c r="AT133" s="170">
        <f ca="1">INDEX('Cap based on indoor unit SZ'!$J$6:$J$21,MATCH(AG133,'Cap based on indoor unit SZ'!$I$6:$I$21))</f>
        <v>13.078888888888891</v>
      </c>
      <c r="AU133" s="170">
        <f ca="1">INDEX('Cap based on indoor unit SZ'!$J$6:$J$21,MATCH(AH133,'Cap based on indoor unit SZ'!$I$6:$I$21))</f>
        <v>13.078888888888891</v>
      </c>
      <c r="AV133" s="179"/>
      <c r="AW133" s="169">
        <f t="shared" si="140"/>
        <v>48</v>
      </c>
      <c r="AX133" s="170">
        <v>12</v>
      </c>
      <c r="AY133" s="170">
        <v>12</v>
      </c>
      <c r="AZ133" s="170">
        <v>12</v>
      </c>
      <c r="BA133" s="170">
        <v>12</v>
      </c>
      <c r="BB133" s="179"/>
      <c r="BC133" s="172">
        <f t="shared" ca="1" si="187"/>
        <v>51.604444444444425</v>
      </c>
      <c r="BD133" s="173">
        <f t="shared" ca="1" si="172"/>
        <v>12.901111111111106</v>
      </c>
      <c r="BE133" s="173">
        <f t="shared" ca="1" si="173"/>
        <v>12.901111111111106</v>
      </c>
      <c r="BF133" s="173">
        <f t="shared" ca="1" si="174"/>
        <v>12.901111111111106</v>
      </c>
      <c r="BG133" s="173">
        <f t="shared" ca="1" si="175"/>
        <v>12.901111111111106</v>
      </c>
      <c r="BH133" s="180"/>
      <c r="BI133" s="166">
        <f t="shared" ca="1" si="188"/>
        <v>55.836427350427357</v>
      </c>
      <c r="BJ133" s="167">
        <f t="shared" ca="1" si="176"/>
        <v>13.959106837606839</v>
      </c>
      <c r="BK133" s="167">
        <f t="shared" ca="1" si="177"/>
        <v>13.959106837606839</v>
      </c>
      <c r="BL133" s="167">
        <f t="shared" ca="1" si="178"/>
        <v>13.959106837606839</v>
      </c>
      <c r="BM133" s="167">
        <f t="shared" ca="1" si="179"/>
        <v>13.959106837606839</v>
      </c>
      <c r="BN133" s="178"/>
      <c r="BO133" s="169">
        <f t="shared" ca="1" si="189"/>
        <v>59.780102564102563</v>
      </c>
      <c r="BP133" s="170">
        <f ca="1">INDEX('Cap based on indoor unit SZ'!$V$43:$V$58,MATCH(AE133,'Cap based on indoor unit SZ'!$U$43:$U$58))</f>
        <v>14.945025641025641</v>
      </c>
      <c r="BQ133" s="170">
        <f ca="1">INDEX('Cap based on indoor unit SZ'!$V$43:$V$58,MATCH(AF133,'Cap based on indoor unit SZ'!$U$43:$U$58))</f>
        <v>14.945025641025641</v>
      </c>
      <c r="BR133" s="170">
        <f ca="1">INDEX('Cap based on indoor unit SZ'!$V$43:$V$58,MATCH(AG133,'Cap based on indoor unit SZ'!$U$43:$U$58))</f>
        <v>14.945025641025641</v>
      </c>
      <c r="BS133" s="170">
        <f ca="1">INDEX('Cap based on indoor unit SZ'!$V$43:$V$58,MATCH(AH133,'Cap based on indoor unit SZ'!$U$43:$U$58))</f>
        <v>14.945025641025641</v>
      </c>
      <c r="BT133" s="179"/>
      <c r="BU133" s="175">
        <v>12500</v>
      </c>
      <c r="BV133" s="175">
        <v>12500</v>
      </c>
      <c r="BW133" s="175">
        <v>12500</v>
      </c>
      <c r="BX133" s="175">
        <v>12500</v>
      </c>
      <c r="BY133" s="179"/>
      <c r="BZ133" s="172">
        <f t="shared" ca="1" si="190"/>
        <v>55.836427350427357</v>
      </c>
      <c r="CA133" s="173">
        <f t="shared" ca="1" si="180"/>
        <v>13.959106837606839</v>
      </c>
      <c r="CB133" s="173">
        <f t="shared" ca="1" si="181"/>
        <v>13.959106837606839</v>
      </c>
      <c r="CC133" s="173">
        <f t="shared" ca="1" si="182"/>
        <v>13.959106837606839</v>
      </c>
      <c r="CD133" s="173">
        <f t="shared" ca="1" si="183"/>
        <v>13.959106837606839</v>
      </c>
      <c r="CE133" s="180"/>
      <c r="CF133" s="166">
        <f t="shared" ca="1" si="191"/>
        <v>41.911114741587561</v>
      </c>
      <c r="CG133" s="167">
        <f t="shared" ca="1" si="192"/>
        <v>10.47777868539689</v>
      </c>
      <c r="CH133" s="167">
        <f t="shared" ca="1" si="193"/>
        <v>10.47777868539689</v>
      </c>
      <c r="CI133" s="167">
        <f t="shared" ca="1" si="166"/>
        <v>10.47777868539689</v>
      </c>
      <c r="CJ133" s="167">
        <f t="shared" ca="1" si="184"/>
        <v>10.47777868539689</v>
      </c>
      <c r="CK133" s="178"/>
    </row>
    <row r="134" spans="2:89">
      <c r="B134" s="188">
        <v>48</v>
      </c>
      <c r="C134" s="189">
        <v>59</v>
      </c>
      <c r="D134" s="189"/>
      <c r="E134" s="190" t="s">
        <v>15</v>
      </c>
      <c r="F134" s="191">
        <v>23.97</v>
      </c>
      <c r="G134" s="192">
        <v>28.85</v>
      </c>
      <c r="H134" s="192">
        <v>30.97</v>
      </c>
      <c r="I134" s="192">
        <v>33.82</v>
      </c>
      <c r="J134" s="192">
        <v>37.29</v>
      </c>
      <c r="K134" s="192">
        <v>39.53</v>
      </c>
      <c r="L134" s="193">
        <v>40.159999999999997</v>
      </c>
      <c r="M134" s="193">
        <v>41.41</v>
      </c>
      <c r="N134" s="193">
        <v>43.37</v>
      </c>
      <c r="O134" s="193">
        <v>46.06</v>
      </c>
      <c r="P134" s="193">
        <v>57.21</v>
      </c>
      <c r="Q134" s="194">
        <v>67.67</v>
      </c>
      <c r="R134" s="203">
        <f t="shared" ca="1" si="167"/>
        <v>57.67488888888888</v>
      </c>
      <c r="S134" s="152"/>
      <c r="T134" s="152"/>
      <c r="U134" s="146" t="s">
        <v>96</v>
      </c>
      <c r="V134" s="147">
        <f ca="1">FORECAST(INDOOR_HEAT_DB,OFFSET(R134:R137,MATCH(INDOOR_HEAT_DB,C134:C137,1)-1,0,2),OFFSET(C134:C137,MATCH(INDOOR_HEAT_DB,C134:C137,1)-1,0,2))</f>
        <v>55.836427350427357</v>
      </c>
      <c r="W134" s="145">
        <f>B134</f>
        <v>48</v>
      </c>
      <c r="X134" s="147">
        <f ca="1">IF(OR(INDOOR_HEAT_DB&lt;C134,INDOOR_HEAT_DB&gt;C137),V136,V134)</f>
        <v>55.836427350427357</v>
      </c>
      <c r="Y134" s="238"/>
      <c r="AC134" s="164" t="s">
        <v>147</v>
      </c>
      <c r="AD134" s="164">
        <v>48</v>
      </c>
      <c r="AE134" s="165">
        <v>12</v>
      </c>
      <c r="AF134" s="165">
        <v>12</v>
      </c>
      <c r="AG134" s="165">
        <v>12</v>
      </c>
      <c r="AH134" s="165">
        <v>18</v>
      </c>
      <c r="AI134" s="165"/>
      <c r="AJ134" s="501"/>
      <c r="AK134" s="166">
        <f t="shared" ca="1" si="185"/>
        <v>51.604444444444425</v>
      </c>
      <c r="AL134" s="167">
        <f t="shared" ca="1" si="168"/>
        <v>11.46765432098765</v>
      </c>
      <c r="AM134" s="167">
        <f t="shared" ca="1" si="169"/>
        <v>11.46765432098765</v>
      </c>
      <c r="AN134" s="167">
        <f t="shared" ca="1" si="170"/>
        <v>11.46765432098765</v>
      </c>
      <c r="AO134" s="167">
        <f t="shared" ca="1" si="171"/>
        <v>17.201481481481476</v>
      </c>
      <c r="AP134" s="178"/>
      <c r="AQ134" s="169">
        <f t="shared" ca="1" si="186"/>
        <v>59.057777777777787</v>
      </c>
      <c r="AR134" s="170">
        <f ca="1">INDEX('Cap based on indoor unit SZ'!$J$6:$J$21,MATCH(AE134,'Cap based on indoor unit SZ'!$I$6:$I$21))</f>
        <v>13.078888888888891</v>
      </c>
      <c r="AS134" s="170">
        <f ca="1">INDEX('Cap based on indoor unit SZ'!$J$6:$J$21,MATCH(AF134,'Cap based on indoor unit SZ'!$I$6:$I$21))</f>
        <v>13.078888888888891</v>
      </c>
      <c r="AT134" s="170">
        <f ca="1">INDEX('Cap based on indoor unit SZ'!$J$6:$J$21,MATCH(AG134,'Cap based on indoor unit SZ'!$I$6:$I$21))</f>
        <v>13.078888888888891</v>
      </c>
      <c r="AU134" s="170">
        <f ca="1">INDEX('Cap based on indoor unit SZ'!$J$6:$J$21,MATCH(AH134,'Cap based on indoor unit SZ'!$I$6:$I$21))</f>
        <v>19.821111111111112</v>
      </c>
      <c r="AV134" s="179"/>
      <c r="AW134" s="169">
        <f t="shared" si="140"/>
        <v>49</v>
      </c>
      <c r="AX134" s="170">
        <v>11</v>
      </c>
      <c r="AY134" s="170">
        <v>11</v>
      </c>
      <c r="AZ134" s="170">
        <v>11</v>
      </c>
      <c r="BA134" s="170">
        <v>16</v>
      </c>
      <c r="BB134" s="179"/>
      <c r="BC134" s="172">
        <f t="shared" ca="1" si="187"/>
        <v>51.604444444444425</v>
      </c>
      <c r="BD134" s="173">
        <f t="shared" ca="1" si="172"/>
        <v>11.46765432098765</v>
      </c>
      <c r="BE134" s="173">
        <f t="shared" ca="1" si="173"/>
        <v>11.46765432098765</v>
      </c>
      <c r="BF134" s="173">
        <f t="shared" ca="1" si="174"/>
        <v>11.46765432098765</v>
      </c>
      <c r="BG134" s="173">
        <f t="shared" ca="1" si="175"/>
        <v>17.201481481481476</v>
      </c>
      <c r="BH134" s="180"/>
      <c r="BI134" s="166">
        <f t="shared" ca="1" si="188"/>
        <v>55.836427350427357</v>
      </c>
      <c r="BJ134" s="167">
        <f t="shared" ca="1" si="176"/>
        <v>12.408094966761634</v>
      </c>
      <c r="BK134" s="167">
        <f t="shared" ca="1" si="177"/>
        <v>12.408094966761634</v>
      </c>
      <c r="BL134" s="167">
        <f t="shared" ca="1" si="178"/>
        <v>12.408094966761634</v>
      </c>
      <c r="BM134" s="167">
        <f t="shared" ca="1" si="179"/>
        <v>18.612142450142453</v>
      </c>
      <c r="BN134" s="178"/>
      <c r="BO134" s="169">
        <f t="shared" ca="1" si="189"/>
        <v>69.433897435897435</v>
      </c>
      <c r="BP134" s="170">
        <f ca="1">INDEX('Cap based on indoor unit SZ'!$V$43:$V$58,MATCH(AE134,'Cap based on indoor unit SZ'!$U$43:$U$58))</f>
        <v>14.945025641025641</v>
      </c>
      <c r="BQ134" s="170">
        <f ca="1">INDEX('Cap based on indoor unit SZ'!$V$43:$V$58,MATCH(AF134,'Cap based on indoor unit SZ'!$U$43:$U$58))</f>
        <v>14.945025641025641</v>
      </c>
      <c r="BR134" s="170">
        <f ca="1">INDEX('Cap based on indoor unit SZ'!$V$43:$V$58,MATCH(AG134,'Cap based on indoor unit SZ'!$U$43:$U$58))</f>
        <v>14.945025641025641</v>
      </c>
      <c r="BS134" s="170">
        <f ca="1">INDEX('Cap based on indoor unit SZ'!$V$43:$V$58,MATCH(AH134,'Cap based on indoor unit SZ'!$U$43:$U$58))</f>
        <v>24.598820512820513</v>
      </c>
      <c r="BT134" s="179"/>
      <c r="BU134" s="175">
        <v>11500</v>
      </c>
      <c r="BV134" s="175">
        <v>11500</v>
      </c>
      <c r="BW134" s="175">
        <v>11500</v>
      </c>
      <c r="BX134" s="175">
        <v>16500</v>
      </c>
      <c r="BY134" s="179"/>
      <c r="BZ134" s="172">
        <f t="shared" ca="1" si="190"/>
        <v>55.836427350427357</v>
      </c>
      <c r="CA134" s="173">
        <f t="shared" ca="1" si="180"/>
        <v>12.408094966761634</v>
      </c>
      <c r="CB134" s="173">
        <f t="shared" ca="1" si="181"/>
        <v>12.408094966761634</v>
      </c>
      <c r="CC134" s="173">
        <f t="shared" ca="1" si="182"/>
        <v>12.408094966761634</v>
      </c>
      <c r="CD134" s="173">
        <f t="shared" ca="1" si="183"/>
        <v>18.612142450142453</v>
      </c>
      <c r="CE134" s="180"/>
      <c r="CF134" s="166">
        <f t="shared" ca="1" si="191"/>
        <v>41.911114741587561</v>
      </c>
      <c r="CG134" s="167">
        <f t="shared" ca="1" si="192"/>
        <v>9.313581053686125</v>
      </c>
      <c r="CH134" s="167">
        <f t="shared" ca="1" si="193"/>
        <v>9.313581053686125</v>
      </c>
      <c r="CI134" s="167">
        <f t="shared" ca="1" si="166"/>
        <v>9.313581053686125</v>
      </c>
      <c r="CJ134" s="167">
        <f t="shared" ca="1" si="184"/>
        <v>13.970371580529187</v>
      </c>
      <c r="CK134" s="178"/>
    </row>
    <row r="135" spans="2:89">
      <c r="B135" s="196">
        <v>48</v>
      </c>
      <c r="C135" s="197">
        <v>64.400000000000006</v>
      </c>
      <c r="D135" s="197"/>
      <c r="E135" s="198" t="s">
        <v>15</v>
      </c>
      <c r="F135" s="199">
        <v>23.71</v>
      </c>
      <c r="G135" s="200">
        <v>28.52</v>
      </c>
      <c r="H135" s="200">
        <v>30.61</v>
      </c>
      <c r="I135" s="200">
        <v>33.42</v>
      </c>
      <c r="J135" s="200">
        <v>36.840000000000003</v>
      </c>
      <c r="K135" s="200">
        <v>39.01</v>
      </c>
      <c r="L135" s="201">
        <v>39.619999999999997</v>
      </c>
      <c r="M135" s="201">
        <v>40.85</v>
      </c>
      <c r="N135" s="201">
        <v>42.8</v>
      </c>
      <c r="O135" s="201">
        <v>45.45</v>
      </c>
      <c r="P135" s="201">
        <v>56.46</v>
      </c>
      <c r="Q135" s="202">
        <v>66.650000000000006</v>
      </c>
      <c r="R135" s="203">
        <f t="shared" ca="1" si="167"/>
        <v>56.912888888888894</v>
      </c>
      <c r="S135" s="152"/>
      <c r="T135" s="152"/>
      <c r="U135" s="146"/>
      <c r="V135" s="148"/>
      <c r="W135" s="145"/>
      <c r="X135" s="152"/>
      <c r="Y135" s="239"/>
      <c r="AC135" s="164" t="s">
        <v>146</v>
      </c>
      <c r="AD135" s="164">
        <v>48</v>
      </c>
      <c r="AE135" s="165">
        <v>12</v>
      </c>
      <c r="AF135" s="165">
        <v>12</v>
      </c>
      <c r="AG135" s="165">
        <v>12</v>
      </c>
      <c r="AH135" s="165">
        <v>24</v>
      </c>
      <c r="AI135" s="165"/>
      <c r="AJ135" s="501"/>
      <c r="AK135" s="166">
        <f t="shared" ca="1" si="185"/>
        <v>51.604444444444425</v>
      </c>
      <c r="AL135" s="167">
        <f t="shared" ca="1" si="168"/>
        <v>10.320888888888884</v>
      </c>
      <c r="AM135" s="167">
        <f t="shared" ca="1" si="169"/>
        <v>10.320888888888884</v>
      </c>
      <c r="AN135" s="167">
        <f t="shared" ca="1" si="170"/>
        <v>10.320888888888884</v>
      </c>
      <c r="AO135" s="167">
        <f t="shared" ca="1" si="171"/>
        <v>20.641777777777769</v>
      </c>
      <c r="AP135" s="178"/>
      <c r="AQ135" s="169">
        <f t="shared" ca="1" si="186"/>
        <v>63.68888888888889</v>
      </c>
      <c r="AR135" s="170">
        <f ca="1">INDEX('Cap based on indoor unit SZ'!$J$6:$J$21,MATCH(AE135,'Cap based on indoor unit SZ'!$I$6:$I$21))</f>
        <v>13.078888888888891</v>
      </c>
      <c r="AS135" s="170">
        <f ca="1">INDEX('Cap based on indoor unit SZ'!$J$6:$J$21,MATCH(AF135,'Cap based on indoor unit SZ'!$I$6:$I$21))</f>
        <v>13.078888888888891</v>
      </c>
      <c r="AT135" s="170">
        <f ca="1">INDEX('Cap based on indoor unit SZ'!$J$6:$J$21,MATCH(AG135,'Cap based on indoor unit SZ'!$I$6:$I$21))</f>
        <v>13.078888888888891</v>
      </c>
      <c r="AU135" s="170">
        <f ca="1">INDEX('Cap based on indoor unit SZ'!$J$6:$J$21,MATCH(AH135,'Cap based on indoor unit SZ'!$I$6:$I$21))</f>
        <v>24.452222222222218</v>
      </c>
      <c r="AV135" s="179"/>
      <c r="AW135" s="169">
        <f t="shared" si="140"/>
        <v>50</v>
      </c>
      <c r="AX135" s="170">
        <v>10</v>
      </c>
      <c r="AY135" s="170">
        <v>10</v>
      </c>
      <c r="AZ135" s="170">
        <v>10</v>
      </c>
      <c r="BA135" s="170">
        <v>20</v>
      </c>
      <c r="BB135" s="179"/>
      <c r="BC135" s="172">
        <f t="shared" ca="1" si="187"/>
        <v>51.604444444444425</v>
      </c>
      <c r="BD135" s="173">
        <f t="shared" ca="1" si="172"/>
        <v>10.320888888888884</v>
      </c>
      <c r="BE135" s="173">
        <f t="shared" ca="1" si="173"/>
        <v>10.320888888888884</v>
      </c>
      <c r="BF135" s="173">
        <f t="shared" ca="1" si="174"/>
        <v>10.320888888888884</v>
      </c>
      <c r="BG135" s="173">
        <f t="shared" ca="1" si="175"/>
        <v>20.641777777777769</v>
      </c>
      <c r="BH135" s="180"/>
      <c r="BI135" s="166">
        <f t="shared" ca="1" si="188"/>
        <v>55.83642735042735</v>
      </c>
      <c r="BJ135" s="167">
        <f t="shared" ca="1" si="176"/>
        <v>11.167285470085471</v>
      </c>
      <c r="BK135" s="167">
        <f t="shared" ca="1" si="177"/>
        <v>11.167285470085471</v>
      </c>
      <c r="BL135" s="167">
        <f t="shared" ca="1" si="178"/>
        <v>11.167285470085471</v>
      </c>
      <c r="BM135" s="167">
        <f t="shared" ca="1" si="179"/>
        <v>22.334570940170941</v>
      </c>
      <c r="BN135" s="178"/>
      <c r="BO135" s="169">
        <f t="shared" ca="1" si="189"/>
        <v>75.125076923076932</v>
      </c>
      <c r="BP135" s="170">
        <f ca="1">INDEX('Cap based on indoor unit SZ'!$V$43:$V$58,MATCH(AE135,'Cap based on indoor unit SZ'!$U$43:$U$58))</f>
        <v>14.945025641025641</v>
      </c>
      <c r="BQ135" s="170">
        <f ca="1">INDEX('Cap based on indoor unit SZ'!$V$43:$V$58,MATCH(AF135,'Cap based on indoor unit SZ'!$U$43:$U$58))</f>
        <v>14.945025641025641</v>
      </c>
      <c r="BR135" s="170">
        <f ca="1">INDEX('Cap based on indoor unit SZ'!$V$43:$V$58,MATCH(AG135,'Cap based on indoor unit SZ'!$U$43:$U$58))</f>
        <v>14.945025641025641</v>
      </c>
      <c r="BS135" s="170">
        <f ca="1">INDEX('Cap based on indoor unit SZ'!$V$43:$V$58,MATCH(AH135,'Cap based on indoor unit SZ'!$U$43:$U$58))</f>
        <v>30.290000000000003</v>
      </c>
      <c r="BT135" s="179"/>
      <c r="BU135" s="175">
        <v>10500</v>
      </c>
      <c r="BV135" s="175">
        <v>10500</v>
      </c>
      <c r="BW135" s="175">
        <v>10500</v>
      </c>
      <c r="BX135" s="175">
        <v>20500</v>
      </c>
      <c r="BY135" s="179"/>
      <c r="BZ135" s="172">
        <f t="shared" ca="1" si="190"/>
        <v>55.83642735042735</v>
      </c>
      <c r="CA135" s="173">
        <f t="shared" ca="1" si="180"/>
        <v>11.167285470085471</v>
      </c>
      <c r="CB135" s="173">
        <f t="shared" ca="1" si="181"/>
        <v>11.167285470085471</v>
      </c>
      <c r="CC135" s="173">
        <f t="shared" ca="1" si="182"/>
        <v>11.167285470085471</v>
      </c>
      <c r="CD135" s="173">
        <f t="shared" ca="1" si="183"/>
        <v>22.334570940170941</v>
      </c>
      <c r="CE135" s="180"/>
      <c r="CF135" s="166">
        <f t="shared" ca="1" si="191"/>
        <v>41.911114741587561</v>
      </c>
      <c r="CG135" s="167">
        <f t="shared" ca="1" si="192"/>
        <v>8.3822229483175121</v>
      </c>
      <c r="CH135" s="167">
        <f t="shared" ca="1" si="193"/>
        <v>8.3822229483175121</v>
      </c>
      <c r="CI135" s="167">
        <f t="shared" ca="1" si="166"/>
        <v>8.3822229483175121</v>
      </c>
      <c r="CJ135" s="167">
        <f t="shared" ca="1" si="184"/>
        <v>16.764445896635024</v>
      </c>
      <c r="CK135" s="178"/>
    </row>
    <row r="136" spans="2:89">
      <c r="B136" s="196">
        <v>48</v>
      </c>
      <c r="C136" s="197">
        <v>69</v>
      </c>
      <c r="D136" s="197"/>
      <c r="E136" s="198" t="s">
        <v>15</v>
      </c>
      <c r="F136" s="199">
        <v>23.33</v>
      </c>
      <c r="G136" s="200">
        <v>28.05</v>
      </c>
      <c r="H136" s="200">
        <v>29.42</v>
      </c>
      <c r="I136" s="200">
        <v>32.18</v>
      </c>
      <c r="J136" s="200">
        <v>36.340000000000003</v>
      </c>
      <c r="K136" s="200">
        <v>37.9</v>
      </c>
      <c r="L136" s="201">
        <v>38.24</v>
      </c>
      <c r="M136" s="201">
        <v>40.29</v>
      </c>
      <c r="N136" s="201">
        <v>42.94</v>
      </c>
      <c r="O136" s="201">
        <v>47.06</v>
      </c>
      <c r="P136" s="201">
        <v>55.83</v>
      </c>
      <c r="Q136" s="202">
        <v>65.739999999999995</v>
      </c>
      <c r="R136" s="203">
        <f t="shared" ca="1" si="167"/>
        <v>56.270444444444443</v>
      </c>
      <c r="S136" s="152"/>
      <c r="T136" s="152"/>
      <c r="U136" s="146" t="s">
        <v>97</v>
      </c>
      <c r="V136" s="147">
        <f ca="1">TREND(R134:R137,C134:C137,INDOOR_HEAT_DB)</f>
        <v>55.752522434967602</v>
      </c>
      <c r="W136" s="145"/>
      <c r="X136" s="152"/>
      <c r="Y136" s="238"/>
      <c r="AC136" s="164" t="s">
        <v>145</v>
      </c>
      <c r="AD136" s="164">
        <v>48</v>
      </c>
      <c r="AE136" s="165">
        <v>12</v>
      </c>
      <c r="AF136" s="165">
        <v>12</v>
      </c>
      <c r="AG136" s="165">
        <v>18</v>
      </c>
      <c r="AH136" s="165">
        <v>18</v>
      </c>
      <c r="AI136" s="165"/>
      <c r="AJ136" s="501"/>
      <c r="AK136" s="166">
        <f t="shared" ca="1" si="185"/>
        <v>51.604444444444425</v>
      </c>
      <c r="AL136" s="167">
        <f t="shared" ca="1" si="168"/>
        <v>10.320888888888884</v>
      </c>
      <c r="AM136" s="167">
        <f t="shared" ca="1" si="169"/>
        <v>10.320888888888884</v>
      </c>
      <c r="AN136" s="167">
        <f t="shared" ca="1" si="170"/>
        <v>15.481333333333328</v>
      </c>
      <c r="AO136" s="167">
        <f t="shared" ca="1" si="171"/>
        <v>15.481333333333328</v>
      </c>
      <c r="AP136" s="178"/>
      <c r="AQ136" s="169">
        <f t="shared" ca="1" si="186"/>
        <v>65.8</v>
      </c>
      <c r="AR136" s="170">
        <f ca="1">INDEX('Cap based on indoor unit SZ'!$J$6:$J$21,MATCH(AE136,'Cap based on indoor unit SZ'!$I$6:$I$21))</f>
        <v>13.078888888888891</v>
      </c>
      <c r="AS136" s="170">
        <f ca="1">INDEX('Cap based on indoor unit SZ'!$J$6:$J$21,MATCH(AF136,'Cap based on indoor unit SZ'!$I$6:$I$21))</f>
        <v>13.078888888888891</v>
      </c>
      <c r="AT136" s="170">
        <f ca="1">INDEX('Cap based on indoor unit SZ'!$J$6:$J$21,MATCH(AG136,'Cap based on indoor unit SZ'!$I$6:$I$21))</f>
        <v>19.821111111111112</v>
      </c>
      <c r="AU136" s="170">
        <f ca="1">INDEX('Cap based on indoor unit SZ'!$J$6:$J$21,MATCH(AH136,'Cap based on indoor unit SZ'!$I$6:$I$21))</f>
        <v>19.821111111111112</v>
      </c>
      <c r="AV136" s="179"/>
      <c r="AW136" s="169">
        <f t="shared" si="140"/>
        <v>50</v>
      </c>
      <c r="AX136" s="170">
        <v>10</v>
      </c>
      <c r="AY136" s="170">
        <v>10</v>
      </c>
      <c r="AZ136" s="170">
        <v>15</v>
      </c>
      <c r="BA136" s="170">
        <v>15</v>
      </c>
      <c r="BB136" s="179"/>
      <c r="BC136" s="172">
        <f t="shared" ca="1" si="187"/>
        <v>51.604444444444425</v>
      </c>
      <c r="BD136" s="173">
        <f t="shared" ca="1" si="172"/>
        <v>10.320888888888884</v>
      </c>
      <c r="BE136" s="173">
        <f t="shared" ca="1" si="173"/>
        <v>10.320888888888884</v>
      </c>
      <c r="BF136" s="173">
        <f t="shared" ca="1" si="174"/>
        <v>15.481333333333328</v>
      </c>
      <c r="BG136" s="173">
        <f t="shared" ca="1" si="175"/>
        <v>15.481333333333328</v>
      </c>
      <c r="BH136" s="180"/>
      <c r="BI136" s="166">
        <f t="shared" ca="1" si="188"/>
        <v>55.836427350427357</v>
      </c>
      <c r="BJ136" s="167">
        <f t="shared" ca="1" si="176"/>
        <v>11.167285470085471</v>
      </c>
      <c r="BK136" s="167">
        <f t="shared" ca="1" si="177"/>
        <v>11.167285470085471</v>
      </c>
      <c r="BL136" s="167">
        <f t="shared" ca="1" si="178"/>
        <v>16.750928205128208</v>
      </c>
      <c r="BM136" s="167">
        <f t="shared" ca="1" si="179"/>
        <v>16.750928205128208</v>
      </c>
      <c r="BN136" s="178"/>
      <c r="BO136" s="169">
        <f t="shared" ca="1" si="189"/>
        <v>79.087692307692308</v>
      </c>
      <c r="BP136" s="170">
        <f ca="1">INDEX('Cap based on indoor unit SZ'!$V$43:$V$58,MATCH(AE136,'Cap based on indoor unit SZ'!$U$43:$U$58))</f>
        <v>14.945025641025641</v>
      </c>
      <c r="BQ136" s="170">
        <f ca="1">INDEX('Cap based on indoor unit SZ'!$V$43:$V$58,MATCH(AF136,'Cap based on indoor unit SZ'!$U$43:$U$58))</f>
        <v>14.945025641025641</v>
      </c>
      <c r="BR136" s="170">
        <f ca="1">INDEX('Cap based on indoor unit SZ'!$V$43:$V$58,MATCH(AG136,'Cap based on indoor unit SZ'!$U$43:$U$58))</f>
        <v>24.598820512820513</v>
      </c>
      <c r="BS136" s="170">
        <f ca="1">INDEX('Cap based on indoor unit SZ'!$V$43:$V$58,MATCH(AH136,'Cap based on indoor unit SZ'!$U$43:$U$58))</f>
        <v>24.598820512820513</v>
      </c>
      <c r="BT136" s="179"/>
      <c r="BU136" s="175">
        <v>10500</v>
      </c>
      <c r="BV136" s="175">
        <v>10500</v>
      </c>
      <c r="BW136" s="175">
        <v>15500</v>
      </c>
      <c r="BX136" s="175">
        <v>15500</v>
      </c>
      <c r="BY136" s="179"/>
      <c r="BZ136" s="172">
        <f t="shared" ca="1" si="190"/>
        <v>55.836427350427357</v>
      </c>
      <c r="CA136" s="173">
        <f t="shared" ca="1" si="180"/>
        <v>11.167285470085471</v>
      </c>
      <c r="CB136" s="173">
        <f t="shared" ca="1" si="181"/>
        <v>11.167285470085471</v>
      </c>
      <c r="CC136" s="173">
        <f t="shared" ca="1" si="182"/>
        <v>16.750928205128208</v>
      </c>
      <c r="CD136" s="173">
        <f t="shared" ca="1" si="183"/>
        <v>16.750928205128208</v>
      </c>
      <c r="CE136" s="180"/>
      <c r="CF136" s="166">
        <f t="shared" ca="1" si="191"/>
        <v>41.911114741587568</v>
      </c>
      <c r="CG136" s="167">
        <f t="shared" ca="1" si="192"/>
        <v>8.3822229483175121</v>
      </c>
      <c r="CH136" s="167">
        <f t="shared" ca="1" si="193"/>
        <v>8.3822229483175121</v>
      </c>
      <c r="CI136" s="167">
        <f t="shared" ca="1" si="166"/>
        <v>12.57333442247627</v>
      </c>
      <c r="CJ136" s="167">
        <f t="shared" ca="1" si="184"/>
        <v>12.57333442247627</v>
      </c>
      <c r="CK136" s="178"/>
    </row>
    <row r="137" spans="2:89" ht="14.4" thickBot="1">
      <c r="B137" s="204">
        <v>48</v>
      </c>
      <c r="C137" s="205">
        <v>71.599999999999994</v>
      </c>
      <c r="D137" s="205"/>
      <c r="E137" s="206" t="s">
        <v>15</v>
      </c>
      <c r="F137" s="207">
        <v>22.88</v>
      </c>
      <c r="G137" s="208">
        <v>27.5</v>
      </c>
      <c r="H137" s="208">
        <v>28.83</v>
      </c>
      <c r="I137" s="208">
        <v>31.54</v>
      </c>
      <c r="J137" s="208">
        <v>35.020000000000003</v>
      </c>
      <c r="K137" s="208">
        <v>37.06</v>
      </c>
      <c r="L137" s="209">
        <v>37.4</v>
      </c>
      <c r="M137" s="209">
        <v>39.4</v>
      </c>
      <c r="N137" s="209">
        <v>42</v>
      </c>
      <c r="O137" s="209">
        <v>46.03</v>
      </c>
      <c r="P137" s="209">
        <v>54.71</v>
      </c>
      <c r="Q137" s="210">
        <v>64.430000000000007</v>
      </c>
      <c r="R137" s="211">
        <f t="shared" ca="1" si="167"/>
        <v>55.142000000000003</v>
      </c>
      <c r="S137" s="152"/>
      <c r="T137" s="152"/>
      <c r="U137" s="146"/>
      <c r="V137" s="152"/>
      <c r="W137" s="152"/>
      <c r="X137" s="152"/>
      <c r="Y137" s="238"/>
      <c r="AC137" s="164" t="s">
        <v>144</v>
      </c>
      <c r="AD137" s="164">
        <v>48</v>
      </c>
      <c r="AE137" s="165">
        <v>9</v>
      </c>
      <c r="AF137" s="165">
        <v>9</v>
      </c>
      <c r="AG137" s="165">
        <v>9</v>
      </c>
      <c r="AH137" s="165">
        <v>9</v>
      </c>
      <c r="AI137" s="165">
        <v>9</v>
      </c>
      <c r="AJ137" s="500">
        <v>5</v>
      </c>
      <c r="AK137" s="241">
        <f t="shared" ca="1" si="185"/>
        <v>51.604444444444425</v>
      </c>
      <c r="AL137" s="167">
        <f t="shared" ref="AL137:AL148" ca="1" si="194">IF((INDEX($AA$4:$AA$7,MATCH(INDOOR_1,$Z$4:$Z$7))*(INDEX($X$27:$X$46,MATCH($AD137,$W$27:$W$46,1))/(INDEX($AA$4:$AA$7,MATCH(INDOOR_1,$Z$4:$Z$7))+INDEX($AA$4:$AA$7,MATCH(INDOOR_2,$Z$4:$Z$7))+INDEX($AA$4:$AA$7,MATCH(INDOOR_3,$Z$4:$Z$7))+INDEX($AA$4:$AA$7,MATCH(INDOOR_4,$Z$4:$Z$7))+INDEX($AA$4:$AA$7,MATCH(INDOOR_5,$Z$4:$Z$7)))))
&gt;AR137,AR137,
(INDEX($AA$4:$AA$7,MATCH(INDOOR_1,$Z$4:$Z$7))*(INDEX($X$27:$X$46,MATCH($AD137,$W$27:$W$46,1))/(INDEX($AA$4:$AA$7,MATCH(INDOOR_1,$Z$4:$Z$7))+INDEX($AA$4:$AA$7,MATCH(INDOOR_2,$Z$4:$Z$7))+INDEX($AA$4:$AA$7,MATCH(INDOOR_3,$Z$4:$Z$7))+INDEX($AA$4:$AA$7,MATCH(INDOOR_4,$Z$4:$Z$7))+INDEX($AA$4:$AA$7,MATCH(INDOOR_5,$Z$4:$Z$7))))))</f>
        <v>10.320888888888884</v>
      </c>
      <c r="AM137" s="167">
        <f t="shared" ref="AM137:AM148" ca="1" si="195">IF((INDEX($AA$4:$AA$7,MATCH(INDOOR_2,$Z$4:$Z$7))*(INDEX($X$27:$X$46,MATCH($AD137,$W$27:$W$46,1))/(INDEX($AA$4:$AA$7,MATCH(INDOOR_1,$Z$4:$Z$7))+INDEX($AA$4:$AA$7,MATCH(INDOOR_2,$Z$4:$Z$7))+INDEX($AA$4:$AA$7,MATCH(INDOOR_3,$Z$4:$Z$7))+INDEX($AA$4:$AA$7,MATCH(INDOOR_4,$Z$4:$Z$7))+INDEX($AA$4:$AA$7,MATCH(INDOOR_5,$Z$4:$Z$7)))))
&gt;AS137,AS137,
(INDEX($AA$4:$AA$7,MATCH(INDOOR_2,$Z$4:$Z$7))*(INDEX($X$27:$X$46,MATCH($AD137,$W$27:$W$46,1))/(INDEX($AA$4:$AA$7,MATCH(INDOOR_1,$Z$4:$Z$7))+INDEX($AA$4:$AA$7,MATCH(INDOOR_2,$Z$4:$Z$7))+INDEX($AA$4:$AA$7,MATCH(INDOOR_3,$Z$4:$Z$7))+INDEX($AA$4:$AA$7,MATCH(INDOOR_4,$Z$4:$Z$7))+INDEX($AA$4:$AA$7,MATCH(INDOOR_5,$Z$4:$Z$7))))))</f>
        <v>10.320888888888884</v>
      </c>
      <c r="AN137" s="167">
        <f t="shared" ref="AN137:AN148" ca="1" si="196">IF((INDEX($AA$4:$AA$7,MATCH(INDOOR_3,$Z$4:$Z$7))*(INDEX($X$27:$X$46,MATCH($AD137,$W$27:$W$46,1))/(INDEX($AA$4:$AA$7,MATCH(INDOOR_1,$Z$4:$Z$7))+INDEX($AA$4:$AA$7,MATCH(INDOOR_2,$Z$4:$Z$7))+INDEX($AA$4:$AA$7,MATCH(INDOOR_3,$Z$4:$Z$7))+INDEX($AA$4:$AA$7,MATCH(INDOOR_4,$Z$4:$Z$7))+INDEX($AA$4:$AA$7,MATCH(INDOOR_5,$Z$4:$Z$7)))))
&gt;AT137,AT137,
(INDEX($AA$4:$AA$7,MATCH(INDOOR_3,$Z$4:$Z$7))*(INDEX($X$27:$X$46,MATCH($AD137,$W$27:$W$46,1))/(INDEX($AA$4:$AA$7,MATCH(INDOOR_1,$Z$4:$Z$7))+INDEX($AA$4:$AA$7,MATCH(INDOOR_2,$Z$4:$Z$7))+INDEX($AA$4:$AA$7,MATCH(INDOOR_3,$Z$4:$Z$7))+INDEX($AA$4:$AA$7,MATCH(INDOOR_4,$Z$4:$Z$7))+INDEX($AA$4:$AA$7,MATCH(INDOOR_5,$Z$4:$Z$7))))))</f>
        <v>10.320888888888884</v>
      </c>
      <c r="AO137" s="167">
        <f t="shared" ref="AO137:AO148" ca="1" si="197">IF((INDEX($AA$4:$AA$7,MATCH(INDOOR_4,$Z$4:$Z$7))*(INDEX($X$27:$X$46,MATCH($AD137,$W$27:$W$46,1))/(INDEX($AA$4:$AA$7,MATCH(INDOOR_1,$Z$4:$Z$7))+INDEX($AA$4:$AA$7,MATCH(INDOOR_2,$Z$4:$Z$7))+INDEX($AA$4:$AA$7,MATCH(INDOOR_3,$Z$4:$Z$7))+INDEX($AA$4:$AA$7,MATCH(INDOOR_4,$Z$4:$Z$7))+INDEX($AA$4:$AA$7,MATCH(INDOOR_5,$Z$4:$Z$7)))))
&gt;AU137,AU137,
(INDEX($AA$4:$AA$7,MATCH(INDOOR_4,$Z$4:$Z$7))*(INDEX($X$27:$X$46,MATCH($AD137,$W$27:$W$46,1))/(INDEX($AA$4:$AA$7,MATCH(INDOOR_1,$Z$4:$Z$7))+INDEX($AA$4:$AA$7,MATCH(INDOOR_2,$Z$4:$Z$7))+INDEX($AA$4:$AA$7,MATCH(INDOOR_3,$Z$4:$Z$7))+INDEX($AA$4:$AA$7,MATCH(INDOOR_4,$Z$4:$Z$7))+INDEX($AA$4:$AA$7,MATCH(INDOOR_5,$Z$4:$Z$7))))))</f>
        <v>10.320888888888884</v>
      </c>
      <c r="AP137" s="167">
        <f t="shared" ref="AP137:AP148" ca="1" si="198">IF((INDEX($AA$4:$AA$7,MATCH(INDOOR_5,$Z$4:$Z$7))*(INDEX($X$27:$X$46,MATCH($AD137,$W$27:$W$46,1))/(INDEX($AA$4:$AA$7,MATCH(INDOOR_1,$Z$4:$Z$7))+INDEX($AA$4:$AA$7,MATCH(INDOOR_2,$Z$4:$Z$7))+INDEX($AA$4:$AA$7,MATCH(INDOOR_3,$Z$4:$Z$7))+INDEX($AA$4:$AA$7,MATCH(INDOOR_4,$Z$4:$Z$7))+INDEX($AA$4:$AA$7,MATCH(INDOOR_5,$Z$4:$Z$7)))))
&gt;AV137,AV137,
(INDEX($AA$4:$AA$7,MATCH(INDOOR_5,$Z$4:$Z$7))*(INDEX($X$27:$X$46,MATCH($AD137,$W$27:$W$46,1))/(INDEX($AA$4:$AA$7,MATCH(INDOOR_1,$Z$4:$Z$7))+INDEX($AA$4:$AA$7,MATCH(INDOOR_2,$Z$4:$Z$7))+INDEX($AA$4:$AA$7,MATCH(INDOOR_3,$Z$4:$Z$7))+INDEX($AA$4:$AA$7,MATCH(INDOOR_4,$Z$4:$Z$7))+INDEX($AA$4:$AA$7,MATCH(INDOOR_5,$Z$4:$Z$7))))))</f>
        <v>10.320888888888884</v>
      </c>
      <c r="AQ137" s="242">
        <f t="shared" ca="1" si="186"/>
        <v>52.315555555555555</v>
      </c>
      <c r="AR137" s="170">
        <f ca="1">INDEX('Cap based on indoor unit SZ'!$J$6:$J$21,MATCH(AE137,'Cap based on indoor unit SZ'!$I$6:$I$21))</f>
        <v>10.463111111111111</v>
      </c>
      <c r="AS137" s="170">
        <f ca="1">INDEX('Cap based on indoor unit SZ'!$J$6:$J$21,MATCH(AF137,'Cap based on indoor unit SZ'!$I$6:$I$21))</f>
        <v>10.463111111111111</v>
      </c>
      <c r="AT137" s="170">
        <f ca="1">INDEX('Cap based on indoor unit SZ'!$J$6:$J$21,MATCH(AG137,'Cap based on indoor unit SZ'!$I$6:$I$21))</f>
        <v>10.463111111111111</v>
      </c>
      <c r="AU137" s="170">
        <f ca="1">INDEX('Cap based on indoor unit SZ'!$J$6:$J$21,MATCH(AH137,'Cap based on indoor unit SZ'!$I$6:$I$21))</f>
        <v>10.463111111111111</v>
      </c>
      <c r="AV137" s="170">
        <f ca="1">INDEX('Cap based on indoor unit SZ'!$J$6:$J$21,MATCH(AI137,'Cap based on indoor unit SZ'!$I$6:$I$21))</f>
        <v>10.463111111111111</v>
      </c>
      <c r="AW137" s="242">
        <f t="shared" si="140"/>
        <v>45</v>
      </c>
      <c r="AX137" s="170">
        <v>9</v>
      </c>
      <c r="AY137" s="170">
        <v>9</v>
      </c>
      <c r="AZ137" s="170">
        <v>9</v>
      </c>
      <c r="BA137" s="170">
        <v>9</v>
      </c>
      <c r="BB137" s="170">
        <v>9</v>
      </c>
      <c r="BC137" s="243">
        <f t="shared" ca="1" si="187"/>
        <v>51.604444444444425</v>
      </c>
      <c r="BD137" s="173">
        <f t="shared" ref="BD137:BD148" ca="1" si="199">(INDEX($AA$4:$AA$7,MATCH(AE137,$Z$4:$Z$7))*(INDEX($X$27:$X$46,MATCH($AD137,$W$27:$W$46,1))/(INDEX($AA$4:$AA$7,MATCH($AE137,$Z$4:$Z$7))+INDEX($AA$4:$AA$7,MATCH($AF137,$Z$4:$Z$7))+INDEX($AA$4:$AA$7,MATCH($AG137,$Z$4:$Z$7))+INDEX($AA$4:$AA$7,MATCH($AH137,$Z$4:$Z$7))+INDEX($AA$4:$AA$7,MATCH($AI137,$Z$4:$Z$7)))))</f>
        <v>10.320888888888884</v>
      </c>
      <c r="BE137" s="173">
        <f t="shared" ref="BE137:BE148" ca="1" si="200">(INDEX($AA$4:$AA$7,MATCH(AF137,$Z$4:$Z$7))*(INDEX($X$27:$X$46,MATCH($AD137,$W$27:$W$46,1))/(INDEX($AA$4:$AA$7,MATCH($AE137,$Z$4:$Z$7))+INDEX($AA$4:$AA$7,MATCH($AF137,$Z$4:$Z$7))+INDEX($AA$4:$AA$7,MATCH($AG137,$Z$4:$Z$7))+INDEX($AA$4:$AA$7,MATCH($AH137,$Z$4:$Z$7))+INDEX($AA$4:$AA$7,MATCH($AI137,$Z$4:$Z$7)))))</f>
        <v>10.320888888888884</v>
      </c>
      <c r="BF137" s="173">
        <f t="shared" ref="BF137:BF148" ca="1" si="201">(INDEX($AA$4:$AA$7,MATCH(AG137,$Z$4:$Z$7))*(INDEX($X$27:$X$46,MATCH($AD137,$W$27:$W$46,1))/(INDEX($AA$4:$AA$7,MATCH($AE137,$Z$4:$Z$7))+INDEX($AA$4:$AA$7,MATCH($AF137,$Z$4:$Z$7))+INDEX($AA$4:$AA$7,MATCH($AG137,$Z$4:$Z$7))+INDEX($AA$4:$AA$7,MATCH($AH137,$Z$4:$Z$7))+INDEX($AA$4:$AA$7,MATCH($AI137,$Z$4:$Z$7)))))</f>
        <v>10.320888888888884</v>
      </c>
      <c r="BG137" s="173">
        <f t="shared" ref="BG137:BG148" ca="1" si="202">(INDEX($AA$4:$AA$7,MATCH(AH137,$Z$4:$Z$7))*(INDEX($X$27:$X$46,MATCH($AD137,$W$27:$W$46,1))/(INDEX($AA$4:$AA$7,MATCH($AE137,$Z$4:$Z$7))+INDEX($AA$4:$AA$7,MATCH($AF137,$Z$4:$Z$7))+INDEX($AA$4:$AA$7,MATCH($AG137,$Z$4:$Z$7))+INDEX($AA$4:$AA$7,MATCH($AH137,$Z$4:$Z$7))+INDEX($AA$4:$AA$7,MATCH($AI137,$Z$4:$Z$7)))))</f>
        <v>10.320888888888884</v>
      </c>
      <c r="BH137" s="173">
        <f t="shared" ref="BH137:BH148" ca="1" si="203">(INDEX($AA$4:$AA$7,MATCH(AI137,$Z$4:$Z$7))*(INDEX($X$27:$X$46,MATCH($AD137,$W$27:$W$46,1))/(INDEX($AA$4:$AA$7,MATCH($AE137,$Z$4:$Z$7))+INDEX($AA$4:$AA$7,MATCH($AF137,$Z$4:$Z$7))+INDEX($AA$4:$AA$7,MATCH($AG137,$Z$4:$Z$7))+INDEX($AA$4:$AA$7,MATCH($AH137,$Z$4:$Z$7))+INDEX($AA$4:$AA$7,MATCH($AI137,$Z$4:$Z$7)))))</f>
        <v>10.320888888888884</v>
      </c>
      <c r="BI137" s="241">
        <f t="shared" ca="1" si="188"/>
        <v>55.836427350427357</v>
      </c>
      <c r="BJ137" s="167">
        <f t="shared" ref="BJ137:BJ148" ca="1" si="204">IF((INDEX($AA$4:$AA$7,MATCH(INDOOR_1,$Z$4:$Z$7))*(INDEX($X$118:$X$137,MATCH($AD137,$W$118:$W$137,1))/(INDEX($AA$4:$AA$7,MATCH(INDOOR_1,$Z$4:$Z$7))+INDEX($AA$4:$AA$7,MATCH(INDOOR_2,$Z$4:$Z$7))+INDEX($AA$4:$AA$7,MATCH(INDOOR_3,$Z$4:$Z$7))+INDEX($AA$4:$AA$7,MATCH(INDOOR_4,$Z$4:$Z$7))+INDEX($AA$4:$AA$7,MATCH(INDOOR_5,$Z$4:$Z$7)))))
&gt;BP137,BP137,
(INDEX($AA$4:$AA$7,MATCH(INDOOR_1,$Z$4:$Z$7))*(INDEX($X$118:$X$137,MATCH($AD137,$W$118:$W$137,1))/(INDEX($AA$4:$AA$7,MATCH(INDOOR_1,$Z$4:$Z$7))+INDEX($AA$4:$AA$7,MATCH(INDOOR_2,$Z$4:$Z$7))+INDEX($AA$4:$AA$7,MATCH(INDOOR_3,$Z$4:$Z$7))+INDEX($AA$4:$AA$7,MATCH(INDOOR_4,$Z$4:$Z$7))+INDEX($AA$4:$AA$7,MATCH(INDOOR_5,$Z$4:$Z$7))))))</f>
        <v>11.167285470085471</v>
      </c>
      <c r="BK137" s="167">
        <f t="shared" ref="BK137:BK148" ca="1" si="205">IF((INDEX($AA$4:$AA$7,MATCH(INDOOR_2,$Z$4:$Z$7))*(INDEX($X$118:$X$137,MATCH($AD137,$W$118:$W$137,1))/(INDEX($AA$4:$AA$7,MATCH(INDOOR_1,$Z$4:$Z$7))+INDEX($AA$4:$AA$7,MATCH(INDOOR_2,$Z$4:$Z$7))+INDEX($AA$4:$AA$7,MATCH(INDOOR_3,$Z$4:$Z$7))+INDEX($AA$4:$AA$7,MATCH(INDOOR_4,$Z$4:$Z$7))+INDEX($AA$4:$AA$7,MATCH(INDOOR_5,$Z$4:$Z$7)))))
&gt;BQ137,BQ137,
(INDEX($AA$4:$AA$7,MATCH(INDOOR_2,$Z$4:$Z$7))*(INDEX($X$118:$X$137,MATCH($AD137,$W$118:$W$137,1))/(INDEX($AA$4:$AA$7,MATCH(INDOOR_1,$Z$4:$Z$7))+INDEX($AA$4:$AA$7,MATCH(INDOOR_2,$Z$4:$Z$7))+INDEX($AA$4:$AA$7,MATCH(INDOOR_3,$Z$4:$Z$7))+INDEX($AA$4:$AA$7,MATCH(INDOOR_4,$Z$4:$Z$7))+INDEX($AA$4:$AA$7,MATCH(INDOOR_5,$Z$4:$Z$7))))))</f>
        <v>11.167285470085471</v>
      </c>
      <c r="BL137" s="167">
        <f t="shared" ref="BL137:BL148" ca="1" si="206">IF((INDEX($AA$4:$AA$7,MATCH(INDOOR_3,$Z$4:$Z$7))*(INDEX($X$118:$X$137,MATCH($AD137,$W$118:$W$137,1))/(INDEX($AA$4:$AA$7,MATCH(INDOOR_1,$Z$4:$Z$7))+INDEX($AA$4:$AA$7,MATCH(INDOOR_2,$Z$4:$Z$7))+INDEX($AA$4:$AA$7,MATCH(INDOOR_3,$Z$4:$Z$7))+INDEX($AA$4:$AA$7,MATCH(INDOOR_4,$Z$4:$Z$7))+INDEX($AA$4:$AA$7,MATCH(INDOOR_5,$Z$4:$Z$7)))))
&gt;BR137,BR137,
(INDEX($AA$4:$AA$7,MATCH(INDOOR_3,$Z$4:$Z$7))*(INDEX($X$118:$X$137,MATCH($AD137,$W$118:$W$137,1))/(INDEX($AA$4:$AA$7,MATCH(INDOOR_1,$Z$4:$Z$7))+INDEX($AA$4:$AA$7,MATCH(INDOOR_2,$Z$4:$Z$7))+INDEX($AA$4:$AA$7,MATCH(INDOOR_3,$Z$4:$Z$7))+INDEX($AA$4:$AA$7,MATCH(INDOOR_4,$Z$4:$Z$7))+INDEX($AA$4:$AA$7,MATCH(INDOOR_5,$Z$4:$Z$7))))))</f>
        <v>11.167285470085471</v>
      </c>
      <c r="BM137" s="167">
        <f t="shared" ref="BM137:BM148" ca="1" si="207">IF((INDEX($AA$4:$AA$7,MATCH(INDOOR_4,$Z$4:$Z$7))*(INDEX($X$118:$X$137,MATCH($AD137,$W$118:$W$137,1))/(INDEX($AA$4:$AA$7,MATCH(INDOOR_1,$Z$4:$Z$7))+INDEX($AA$4:$AA$7,MATCH(INDOOR_2,$Z$4:$Z$7))+INDEX($AA$4:$AA$7,MATCH(INDOOR_3,$Z$4:$Z$7))+INDEX($AA$4:$AA$7,MATCH(INDOOR_4,$Z$4:$Z$7))+INDEX($AA$4:$AA$7,MATCH(INDOOR_5,$Z$4:$Z$7)))))
&gt;BS137,BS137,
(INDEX($AA$4:$AA$7,MATCH(INDOOR_4,$Z$4:$Z$7))*(INDEX($X$118:$X$137,MATCH($AD137,$W$118:$W$137,1))/(INDEX($AA$4:$AA$7,MATCH(INDOOR_1,$Z$4:$Z$7))+INDEX($AA$4:$AA$7,MATCH(INDOOR_2,$Z$4:$Z$7))+INDEX($AA$4:$AA$7,MATCH(INDOOR_3,$Z$4:$Z$7))+INDEX($AA$4:$AA$7,MATCH(INDOOR_4,$Z$4:$Z$7))+INDEX($AA$4:$AA$7,MATCH(INDOOR_5,$Z$4:$Z$7))))))</f>
        <v>11.167285470085471</v>
      </c>
      <c r="BN137" s="167">
        <f t="shared" ref="BN137:BN148" ca="1" si="208">IF((INDEX($AA$4:$AA$7,MATCH(INDOOR_5,$Z$4:$Z$7))*(INDEX($X$118:$X$137,MATCH($AD137,$W$118:$W$137,1))/(INDEX($AA$4:$AA$7,MATCH(INDOOR_1,$Z$4:$Z$7))+INDEX($AA$4:$AA$7,MATCH(INDOOR_2,$Z$4:$Z$7))+INDEX($AA$4:$AA$7,MATCH(INDOOR_3,$Z$4:$Z$7))+INDEX($AA$4:$AA$7,MATCH(INDOOR_4,$Z$4:$Z$7))+INDEX($AA$4:$AA$7,MATCH(INDOOR_5,$Z$4:$Z$7)))))
&gt;BT137,BT137,
(INDEX($AA$4:$AA$7,MATCH(INDOOR_5,$Z$4:$Z$7))*(INDEX($X$118:$X$137,MATCH($AD137,$W$118:$W$137,1))/(INDEX($AA$4:$AA$7,MATCH(INDOOR_1,$Z$4:$Z$7))+INDEX($AA$4:$AA$7,MATCH(INDOOR_2,$Z$4:$Z$7))+INDEX($AA$4:$AA$7,MATCH(INDOOR_3,$Z$4:$Z$7))+INDEX($AA$4:$AA$7,MATCH(INDOOR_4,$Z$4:$Z$7))+INDEX($AA$4:$AA$7,MATCH(INDOOR_5,$Z$4:$Z$7))))))</f>
        <v>11.167285470085471</v>
      </c>
      <c r="BO137" s="242">
        <f t="shared" ca="1" si="189"/>
        <v>59.780102564102563</v>
      </c>
      <c r="BP137" s="170">
        <f ca="1">INDEX('Cap based on indoor unit SZ'!$V$43:$V$58,MATCH(AE137,'Cap based on indoor unit SZ'!$U$43:$U$58))</f>
        <v>11.956020512820512</v>
      </c>
      <c r="BQ137" s="170">
        <f ca="1">INDEX('Cap based on indoor unit SZ'!$V$43:$V$58,MATCH(AF137,'Cap based on indoor unit SZ'!$U$43:$U$58))</f>
        <v>11.956020512820512</v>
      </c>
      <c r="BR137" s="170">
        <f ca="1">INDEX('Cap based on indoor unit SZ'!$V$43:$V$58,MATCH(AG137,'Cap based on indoor unit SZ'!$U$43:$U$58))</f>
        <v>11.956020512820512</v>
      </c>
      <c r="BS137" s="170">
        <f ca="1">INDEX('Cap based on indoor unit SZ'!$V$43:$V$58,MATCH(AH137,'Cap based on indoor unit SZ'!$U$43:$U$58))</f>
        <v>11.956020512820512</v>
      </c>
      <c r="BT137" s="170">
        <f ca="1">INDEX('Cap based on indoor unit SZ'!$V$43:$V$58,MATCH(AI137,'Cap based on indoor unit SZ'!$U$43:$U$58))</f>
        <v>11.956020512820512</v>
      </c>
      <c r="BU137" s="175">
        <v>9500</v>
      </c>
      <c r="BV137" s="175">
        <v>9500</v>
      </c>
      <c r="BW137" s="175">
        <v>9500</v>
      </c>
      <c r="BX137" s="175">
        <v>9500</v>
      </c>
      <c r="BY137" s="175">
        <v>9500</v>
      </c>
      <c r="BZ137" s="243">
        <f t="shared" ca="1" si="190"/>
        <v>55.836427350427357</v>
      </c>
      <c r="CA137" s="173">
        <f t="shared" ref="CA137:CA148" ca="1" si="209">(INDEX($AA$4:$AA$7,MATCH(INDOOR_1,$Z$4:$Z$7))*(INDEX($X$118:$X$137,MATCH($AD137,$W$118:$W$137,1))/(INDEX($AA$4:$AA$7,MATCH(INDOOR_1,$Z$4:$Z$7))+INDEX($AA$4:$AA$7,MATCH(INDOOR_2,$Z$4:$Z$7))+INDEX($AA$4:$AA$7,MATCH(INDOOR_3,$Z$4:$Z$7))+INDEX($AA$4:$AA$7,MATCH(INDOOR_4,$Z$4:$Z$7))+INDEX($AA$4:$AA$7,MATCH(INDOOR_5,$Z$4:$Z$7)))))</f>
        <v>11.167285470085471</v>
      </c>
      <c r="CB137" s="173">
        <f t="shared" ref="CB137:CB148" ca="1" si="210">(INDEX($AA$4:$AA$7,MATCH(INDOOR_2,$Z$4:$Z$7))*(INDEX($X$118:$X$137,MATCH($AD137,$W$118:$W$137,1))/(INDEX($AA$4:$AA$7,MATCH(INDOOR_1,$Z$4:$Z$7))+INDEX($AA$4:$AA$7,MATCH(INDOOR_2,$Z$4:$Z$7))+INDEX($AA$4:$AA$7,MATCH(INDOOR_3,$Z$4:$Z$7))+INDEX($AA$4:$AA$7,MATCH(INDOOR_4,$Z$4:$Z$7))+INDEX($AA$4:$AA$7,MATCH(INDOOR_5,$Z$4:$Z$7)))))</f>
        <v>11.167285470085471</v>
      </c>
      <c r="CC137" s="173">
        <f t="shared" ref="CC137:CC148" ca="1" si="211">(INDEX($AA$4:$AA$7,MATCH(INDOOR_3,$Z$4:$Z$7))*(INDEX($X$118:$X$137,MATCH($AD137,$W$118:$W$137,1))/(INDEX($AA$4:$AA$7,MATCH(INDOOR_1,$Z$4:$Z$7))+INDEX($AA$4:$AA$7,MATCH(INDOOR_2,$Z$4:$Z$7))+INDEX($AA$4:$AA$7,MATCH(INDOOR_3,$Z$4:$Z$7))+INDEX($AA$4:$AA$7,MATCH(INDOOR_4,$Z$4:$Z$7))+INDEX($AA$4:$AA$7,MATCH(INDOOR_5,$Z$4:$Z$7)))))</f>
        <v>11.167285470085471</v>
      </c>
      <c r="CD137" s="173">
        <f t="shared" ref="CD137:CD148" ca="1" si="212">(INDEX($AA$4:$AA$7,MATCH(INDOOR_4,$Z$4:$Z$7))*(INDEX($X$118:$X$137,MATCH($AD137,$W$118:$W$137,1))/(INDEX($AA$4:$AA$7,MATCH(INDOOR_1,$Z$4:$Z$7))+INDEX($AA$4:$AA$7,MATCH(INDOOR_2,$Z$4:$Z$7))+INDEX($AA$4:$AA$7,MATCH(INDOOR_3,$Z$4:$Z$7))+INDEX($AA$4:$AA$7,MATCH(INDOOR_4,$Z$4:$Z$7))+INDEX($AA$4:$AA$7,MATCH(INDOOR_5,$Z$4:$Z$7)))))</f>
        <v>11.167285470085471</v>
      </c>
      <c r="CE137" s="173">
        <f t="shared" ref="CE137:CE148" ca="1" si="213">(INDEX($AA$4:$AA$7,MATCH(INDOOR_5,$Z$4:$Z$7))*(INDEX($X$118:$X$137,MATCH($AD137,$W$118:$W$137,1))/(INDEX($AA$4:$AA$7,MATCH(INDOOR_1,$Z$4:$Z$7))+INDEX($AA$4:$AA$7,MATCH(INDOOR_2,$Z$4:$Z$7))+INDEX($AA$4:$AA$7,MATCH(INDOOR_3,$Z$4:$Z$7))+INDEX($AA$4:$AA$7,MATCH(INDOOR_4,$Z$4:$Z$7))+INDEX($AA$4:$AA$7,MATCH(INDOOR_5,$Z$4:$Z$7)))))</f>
        <v>11.167285470085471</v>
      </c>
      <c r="CF137" s="241">
        <f t="shared" ca="1" si="191"/>
        <v>41.911114741587561</v>
      </c>
      <c r="CG137" s="167">
        <f t="shared" ca="1" si="192"/>
        <v>8.3822229483175121</v>
      </c>
      <c r="CH137" s="167">
        <f t="shared" ca="1" si="193"/>
        <v>8.3822229483175121</v>
      </c>
      <c r="CI137" s="167">
        <f t="shared" ca="1" si="166"/>
        <v>8.3822229483175121</v>
      </c>
      <c r="CJ137" s="167">
        <f t="shared" ca="1" si="184"/>
        <v>8.3822229483175121</v>
      </c>
      <c r="CK137" s="167">
        <f t="shared" ref="CK137:CK148" ca="1" si="214">AP137*(INDEX($X$67:$X$86,MATCH($AD137,$W$67:$W$86,1)))</f>
        <v>8.3822229483175121</v>
      </c>
    </row>
    <row r="138" spans="2:89">
      <c r="B138" s="197">
        <v>18</v>
      </c>
      <c r="C138" s="197">
        <v>59</v>
      </c>
      <c r="D138" s="197"/>
      <c r="E138" s="198" t="s">
        <v>17</v>
      </c>
      <c r="F138" s="199">
        <v>1.67</v>
      </c>
      <c r="G138" s="201">
        <v>1.71</v>
      </c>
      <c r="H138" s="201">
        <v>1.76</v>
      </c>
      <c r="I138" s="201">
        <v>1.8</v>
      </c>
      <c r="J138" s="201">
        <v>1.87</v>
      </c>
      <c r="K138" s="201">
        <v>1.93</v>
      </c>
      <c r="L138" s="201">
        <v>1.95</v>
      </c>
      <c r="M138" s="201">
        <v>2.0099999999999998</v>
      </c>
      <c r="N138" s="201">
        <v>1.6</v>
      </c>
      <c r="O138" s="201">
        <v>1.66</v>
      </c>
      <c r="P138" s="201">
        <v>1.79</v>
      </c>
      <c r="Q138" s="201">
        <v>1.87</v>
      </c>
      <c r="R138" s="239"/>
      <c r="S138" s="239"/>
      <c r="T138" s="239"/>
      <c r="U138" s="183"/>
      <c r="V138" s="239"/>
      <c r="W138" s="239"/>
      <c r="X138" s="239"/>
      <c r="Y138" s="239"/>
      <c r="AC138" s="164" t="s">
        <v>143</v>
      </c>
      <c r="AD138" s="164">
        <v>48</v>
      </c>
      <c r="AE138" s="165">
        <v>9</v>
      </c>
      <c r="AF138" s="165">
        <v>9</v>
      </c>
      <c r="AG138" s="165">
        <v>9</v>
      </c>
      <c r="AH138" s="165">
        <v>9</v>
      </c>
      <c r="AI138" s="165">
        <v>12</v>
      </c>
      <c r="AJ138" s="501"/>
      <c r="AK138" s="241">
        <f t="shared" ca="1" si="185"/>
        <v>51.604444444444425</v>
      </c>
      <c r="AL138" s="167">
        <f t="shared" ca="1" si="194"/>
        <v>9.6758333333333297</v>
      </c>
      <c r="AM138" s="167">
        <f t="shared" ca="1" si="195"/>
        <v>9.6758333333333297</v>
      </c>
      <c r="AN138" s="167">
        <f t="shared" ca="1" si="196"/>
        <v>9.6758333333333297</v>
      </c>
      <c r="AO138" s="167">
        <f t="shared" ca="1" si="197"/>
        <v>9.6758333333333297</v>
      </c>
      <c r="AP138" s="167">
        <f t="shared" ca="1" si="198"/>
        <v>12.901111111111106</v>
      </c>
      <c r="AQ138" s="242">
        <f t="shared" ca="1" si="186"/>
        <v>54.931333333333335</v>
      </c>
      <c r="AR138" s="170">
        <f ca="1">INDEX('Cap based on indoor unit SZ'!$J$6:$J$21,MATCH(AE138,'Cap based on indoor unit SZ'!$I$6:$I$21))</f>
        <v>10.463111111111111</v>
      </c>
      <c r="AS138" s="170">
        <f ca="1">INDEX('Cap based on indoor unit SZ'!$J$6:$J$21,MATCH(AF138,'Cap based on indoor unit SZ'!$I$6:$I$21))</f>
        <v>10.463111111111111</v>
      </c>
      <c r="AT138" s="170">
        <f ca="1">INDEX('Cap based on indoor unit SZ'!$J$6:$J$21,MATCH(AG138,'Cap based on indoor unit SZ'!$I$6:$I$21))</f>
        <v>10.463111111111111</v>
      </c>
      <c r="AU138" s="170">
        <f ca="1">INDEX('Cap based on indoor unit SZ'!$J$6:$J$21,MATCH(AH138,'Cap based on indoor unit SZ'!$I$6:$I$21))</f>
        <v>10.463111111111111</v>
      </c>
      <c r="AV138" s="170">
        <f ca="1">INDEX('Cap based on indoor unit SZ'!$J$6:$J$21,MATCH(AI138,'Cap based on indoor unit SZ'!$I$6:$I$21))</f>
        <v>13.078888888888891</v>
      </c>
      <c r="AW138" s="242">
        <f t="shared" si="140"/>
        <v>48</v>
      </c>
      <c r="AX138" s="170">
        <v>9</v>
      </c>
      <c r="AY138" s="170">
        <v>9</v>
      </c>
      <c r="AZ138" s="170">
        <v>9</v>
      </c>
      <c r="BA138" s="170">
        <v>9</v>
      </c>
      <c r="BB138" s="170">
        <v>12</v>
      </c>
      <c r="BC138" s="243">
        <f t="shared" ca="1" si="187"/>
        <v>51.604444444444425</v>
      </c>
      <c r="BD138" s="173">
        <f t="shared" ca="1" si="199"/>
        <v>9.6758333333333297</v>
      </c>
      <c r="BE138" s="173">
        <f t="shared" ca="1" si="200"/>
        <v>9.6758333333333297</v>
      </c>
      <c r="BF138" s="173">
        <f t="shared" ca="1" si="201"/>
        <v>9.6758333333333297</v>
      </c>
      <c r="BG138" s="173">
        <f t="shared" ca="1" si="202"/>
        <v>9.6758333333333297</v>
      </c>
      <c r="BH138" s="173">
        <f t="shared" ca="1" si="203"/>
        <v>12.901111111111106</v>
      </c>
      <c r="BI138" s="241">
        <f t="shared" ca="1" si="188"/>
        <v>55.836427350427357</v>
      </c>
      <c r="BJ138" s="167">
        <f t="shared" ca="1" si="204"/>
        <v>10.469330128205129</v>
      </c>
      <c r="BK138" s="167">
        <f t="shared" ca="1" si="205"/>
        <v>10.469330128205129</v>
      </c>
      <c r="BL138" s="167">
        <f t="shared" ca="1" si="206"/>
        <v>10.469330128205129</v>
      </c>
      <c r="BM138" s="167">
        <f t="shared" ca="1" si="207"/>
        <v>10.469330128205129</v>
      </c>
      <c r="BN138" s="167">
        <f t="shared" ca="1" si="208"/>
        <v>13.959106837606839</v>
      </c>
      <c r="BO138" s="242">
        <f t="shared" ca="1" si="189"/>
        <v>62.769107692307685</v>
      </c>
      <c r="BP138" s="170">
        <f ca="1">INDEX('Cap based on indoor unit SZ'!$V$43:$V$58,MATCH(AE138,'Cap based on indoor unit SZ'!$U$43:$U$58))</f>
        <v>11.956020512820512</v>
      </c>
      <c r="BQ138" s="170">
        <f ca="1">INDEX('Cap based on indoor unit SZ'!$V$43:$V$58,MATCH(AF138,'Cap based on indoor unit SZ'!$U$43:$U$58))</f>
        <v>11.956020512820512</v>
      </c>
      <c r="BR138" s="170">
        <f ca="1">INDEX('Cap based on indoor unit SZ'!$V$43:$V$58,MATCH(AG138,'Cap based on indoor unit SZ'!$U$43:$U$58))</f>
        <v>11.956020512820512</v>
      </c>
      <c r="BS138" s="170">
        <f ca="1">INDEX('Cap based on indoor unit SZ'!$V$43:$V$58,MATCH(AH138,'Cap based on indoor unit SZ'!$U$43:$U$58))</f>
        <v>11.956020512820512</v>
      </c>
      <c r="BT138" s="170">
        <f ca="1">INDEX('Cap based on indoor unit SZ'!$V$43:$V$58,MATCH(AI138,'Cap based on indoor unit SZ'!$U$43:$U$58))</f>
        <v>14.945025641025641</v>
      </c>
      <c r="BU138" s="175">
        <v>9500</v>
      </c>
      <c r="BV138" s="175">
        <v>9500</v>
      </c>
      <c r="BW138" s="175">
        <v>9500</v>
      </c>
      <c r="BX138" s="175">
        <v>9500</v>
      </c>
      <c r="BY138" s="175">
        <v>13000</v>
      </c>
      <c r="BZ138" s="243">
        <f t="shared" ca="1" si="190"/>
        <v>55.836427350427357</v>
      </c>
      <c r="CA138" s="173">
        <f t="shared" ca="1" si="209"/>
        <v>10.469330128205129</v>
      </c>
      <c r="CB138" s="173">
        <f t="shared" ca="1" si="210"/>
        <v>10.469330128205129</v>
      </c>
      <c r="CC138" s="173">
        <f t="shared" ca="1" si="211"/>
        <v>10.469330128205129</v>
      </c>
      <c r="CD138" s="173">
        <f t="shared" ca="1" si="212"/>
        <v>10.469330128205129</v>
      </c>
      <c r="CE138" s="173">
        <f t="shared" ca="1" si="213"/>
        <v>13.959106837606839</v>
      </c>
      <c r="CF138" s="241">
        <f t="shared" ca="1" si="191"/>
        <v>41.911114741587561</v>
      </c>
      <c r="CG138" s="167">
        <f t="shared" ca="1" si="192"/>
        <v>7.8583340140476681</v>
      </c>
      <c r="CH138" s="167">
        <f t="shared" ca="1" si="193"/>
        <v>7.8583340140476681</v>
      </c>
      <c r="CI138" s="167">
        <f t="shared" ca="1" si="166"/>
        <v>7.8583340140476681</v>
      </c>
      <c r="CJ138" s="167">
        <f t="shared" ca="1" si="184"/>
        <v>7.8583340140476681</v>
      </c>
      <c r="CK138" s="167">
        <f t="shared" ca="1" si="214"/>
        <v>10.47777868539689</v>
      </c>
    </row>
    <row r="139" spans="2:89">
      <c r="B139" s="197">
        <v>18</v>
      </c>
      <c r="C139" s="197">
        <v>64.400000000000006</v>
      </c>
      <c r="D139" s="197"/>
      <c r="E139" s="198" t="s">
        <v>17</v>
      </c>
      <c r="F139" s="199">
        <v>1.7</v>
      </c>
      <c r="G139" s="201">
        <v>1.74</v>
      </c>
      <c r="H139" s="201">
        <v>1.79</v>
      </c>
      <c r="I139" s="201">
        <v>1.83</v>
      </c>
      <c r="J139" s="201">
        <v>1.9</v>
      </c>
      <c r="K139" s="201">
        <v>1.96</v>
      </c>
      <c r="L139" s="201">
        <v>1.98</v>
      </c>
      <c r="M139" s="201">
        <v>2.04</v>
      </c>
      <c r="N139" s="201">
        <v>1.63</v>
      </c>
      <c r="O139" s="201">
        <v>1.69</v>
      </c>
      <c r="P139" s="201">
        <v>1.82</v>
      </c>
      <c r="Q139" s="201">
        <v>1.9</v>
      </c>
      <c r="R139" s="238"/>
      <c r="S139" s="238"/>
      <c r="T139" s="238"/>
      <c r="U139" s="244"/>
      <c r="V139" s="238"/>
      <c r="W139" s="238"/>
      <c r="X139" s="238"/>
      <c r="Y139" s="238"/>
      <c r="AC139" s="164" t="s">
        <v>142</v>
      </c>
      <c r="AD139" s="164">
        <v>48</v>
      </c>
      <c r="AE139" s="165">
        <v>9</v>
      </c>
      <c r="AF139" s="165">
        <v>9</v>
      </c>
      <c r="AG139" s="165">
        <v>9</v>
      </c>
      <c r="AH139" s="165">
        <v>9</v>
      </c>
      <c r="AI139" s="165">
        <v>18</v>
      </c>
      <c r="AJ139" s="501"/>
      <c r="AK139" s="241">
        <f t="shared" ca="1" si="185"/>
        <v>51.604444444444425</v>
      </c>
      <c r="AL139" s="167">
        <f t="shared" ca="1" si="194"/>
        <v>8.6007407407407381</v>
      </c>
      <c r="AM139" s="167">
        <f t="shared" ca="1" si="195"/>
        <v>8.6007407407407381</v>
      </c>
      <c r="AN139" s="167">
        <f t="shared" ca="1" si="196"/>
        <v>8.6007407407407381</v>
      </c>
      <c r="AO139" s="167">
        <f t="shared" ca="1" si="197"/>
        <v>8.6007407407407381</v>
      </c>
      <c r="AP139" s="167">
        <f t="shared" ca="1" si="198"/>
        <v>17.201481481481476</v>
      </c>
      <c r="AQ139" s="242">
        <f t="shared" ca="1" si="186"/>
        <v>61.673555555555552</v>
      </c>
      <c r="AR139" s="170">
        <f ca="1">INDEX('Cap based on indoor unit SZ'!$J$6:$J$21,MATCH(AE139,'Cap based on indoor unit SZ'!$I$6:$I$21))</f>
        <v>10.463111111111111</v>
      </c>
      <c r="AS139" s="170">
        <f ca="1">INDEX('Cap based on indoor unit SZ'!$J$6:$J$21,MATCH(AF139,'Cap based on indoor unit SZ'!$I$6:$I$21))</f>
        <v>10.463111111111111</v>
      </c>
      <c r="AT139" s="170">
        <f ca="1">INDEX('Cap based on indoor unit SZ'!$J$6:$J$21,MATCH(AG139,'Cap based on indoor unit SZ'!$I$6:$I$21))</f>
        <v>10.463111111111111</v>
      </c>
      <c r="AU139" s="170">
        <f ca="1">INDEX('Cap based on indoor unit SZ'!$J$6:$J$21,MATCH(AH139,'Cap based on indoor unit SZ'!$I$6:$I$21))</f>
        <v>10.463111111111111</v>
      </c>
      <c r="AV139" s="170">
        <f ca="1">INDEX('Cap based on indoor unit SZ'!$J$6:$J$21,MATCH(AI139,'Cap based on indoor unit SZ'!$I$6:$I$21))</f>
        <v>19.821111111111112</v>
      </c>
      <c r="AW139" s="242">
        <f t="shared" si="140"/>
        <v>50</v>
      </c>
      <c r="AX139" s="170">
        <v>8.5</v>
      </c>
      <c r="AY139" s="170">
        <v>8.5</v>
      </c>
      <c r="AZ139" s="170">
        <v>8.5</v>
      </c>
      <c r="BA139" s="170">
        <v>8.5</v>
      </c>
      <c r="BB139" s="170">
        <v>16</v>
      </c>
      <c r="BC139" s="243">
        <f t="shared" ca="1" si="187"/>
        <v>51.604444444444425</v>
      </c>
      <c r="BD139" s="173">
        <f t="shared" ca="1" si="199"/>
        <v>8.6007407407407381</v>
      </c>
      <c r="BE139" s="173">
        <f t="shared" ca="1" si="200"/>
        <v>8.6007407407407381</v>
      </c>
      <c r="BF139" s="173">
        <f t="shared" ca="1" si="201"/>
        <v>8.6007407407407381</v>
      </c>
      <c r="BG139" s="173">
        <f t="shared" ca="1" si="202"/>
        <v>8.6007407407407381</v>
      </c>
      <c r="BH139" s="173">
        <f t="shared" ca="1" si="203"/>
        <v>17.201481481481476</v>
      </c>
      <c r="BI139" s="241">
        <f t="shared" ca="1" si="188"/>
        <v>55.836427350427357</v>
      </c>
      <c r="BJ139" s="167">
        <f t="shared" ca="1" si="204"/>
        <v>9.3060712250712267</v>
      </c>
      <c r="BK139" s="167">
        <f t="shared" ca="1" si="205"/>
        <v>9.3060712250712267</v>
      </c>
      <c r="BL139" s="167">
        <f t="shared" ca="1" si="206"/>
        <v>9.3060712250712267</v>
      </c>
      <c r="BM139" s="167">
        <f t="shared" ca="1" si="207"/>
        <v>9.3060712250712267</v>
      </c>
      <c r="BN139" s="167">
        <f t="shared" ca="1" si="208"/>
        <v>18.612142450142453</v>
      </c>
      <c r="BO139" s="242">
        <f t="shared" ca="1" si="189"/>
        <v>72.422902564102557</v>
      </c>
      <c r="BP139" s="170">
        <f ca="1">INDEX('Cap based on indoor unit SZ'!$V$43:$V$58,MATCH(AE139,'Cap based on indoor unit SZ'!$U$43:$U$58))</f>
        <v>11.956020512820512</v>
      </c>
      <c r="BQ139" s="170">
        <f ca="1">INDEX('Cap based on indoor unit SZ'!$V$43:$V$58,MATCH(AF139,'Cap based on indoor unit SZ'!$U$43:$U$58))</f>
        <v>11.956020512820512</v>
      </c>
      <c r="BR139" s="170">
        <f ca="1">INDEX('Cap based on indoor unit SZ'!$V$43:$V$58,MATCH(AG139,'Cap based on indoor unit SZ'!$U$43:$U$58))</f>
        <v>11.956020512820512</v>
      </c>
      <c r="BS139" s="170">
        <f ca="1">INDEX('Cap based on indoor unit SZ'!$V$43:$V$58,MATCH(AH139,'Cap based on indoor unit SZ'!$U$43:$U$58))</f>
        <v>11.956020512820512</v>
      </c>
      <c r="BT139" s="170">
        <f ca="1">INDEX('Cap based on indoor unit SZ'!$V$43:$V$58,MATCH(AI139,'Cap based on indoor unit SZ'!$U$43:$U$58))</f>
        <v>24.598820512820513</v>
      </c>
      <c r="BU139" s="175">
        <v>9000</v>
      </c>
      <c r="BV139" s="175">
        <v>9000</v>
      </c>
      <c r="BW139" s="175">
        <v>9000</v>
      </c>
      <c r="BX139" s="175">
        <v>9000</v>
      </c>
      <c r="BY139" s="175">
        <v>16500</v>
      </c>
      <c r="BZ139" s="243">
        <f t="shared" ca="1" si="190"/>
        <v>55.836427350427357</v>
      </c>
      <c r="CA139" s="173">
        <f t="shared" ca="1" si="209"/>
        <v>9.3060712250712267</v>
      </c>
      <c r="CB139" s="173">
        <f t="shared" ca="1" si="210"/>
        <v>9.3060712250712267</v>
      </c>
      <c r="CC139" s="173">
        <f t="shared" ca="1" si="211"/>
        <v>9.3060712250712267</v>
      </c>
      <c r="CD139" s="173">
        <f t="shared" ca="1" si="212"/>
        <v>9.3060712250712267</v>
      </c>
      <c r="CE139" s="173">
        <f t="shared" ca="1" si="213"/>
        <v>18.612142450142453</v>
      </c>
      <c r="CF139" s="241">
        <f t="shared" ca="1" si="191"/>
        <v>41.911114741587561</v>
      </c>
      <c r="CG139" s="167">
        <f t="shared" ca="1" si="192"/>
        <v>6.9851857902645937</v>
      </c>
      <c r="CH139" s="167">
        <f t="shared" ca="1" si="193"/>
        <v>6.9851857902645937</v>
      </c>
      <c r="CI139" s="167">
        <f t="shared" ca="1" si="166"/>
        <v>6.9851857902645937</v>
      </c>
      <c r="CJ139" s="167">
        <f t="shared" ca="1" si="184"/>
        <v>6.9851857902645937</v>
      </c>
      <c r="CK139" s="167">
        <f t="shared" ca="1" si="214"/>
        <v>13.970371580529187</v>
      </c>
    </row>
    <row r="140" spans="2:89">
      <c r="B140" s="197">
        <v>18</v>
      </c>
      <c r="C140" s="197">
        <v>69</v>
      </c>
      <c r="D140" s="197"/>
      <c r="E140" s="198" t="s">
        <v>17</v>
      </c>
      <c r="F140" s="199">
        <v>1.41</v>
      </c>
      <c r="G140" s="201">
        <v>1.44</v>
      </c>
      <c r="H140" s="201">
        <v>1.46</v>
      </c>
      <c r="I140" s="201">
        <v>1.47</v>
      </c>
      <c r="J140" s="201">
        <v>1.91</v>
      </c>
      <c r="K140" s="201">
        <v>1.63</v>
      </c>
      <c r="L140" s="201">
        <v>1.68</v>
      </c>
      <c r="M140" s="201">
        <v>1.76</v>
      </c>
      <c r="N140" s="201">
        <v>1.8</v>
      </c>
      <c r="O140" s="201">
        <v>1.88</v>
      </c>
      <c r="P140" s="201">
        <v>1.95</v>
      </c>
      <c r="Q140" s="201">
        <v>1.97</v>
      </c>
      <c r="R140" s="238"/>
      <c r="S140" s="238"/>
      <c r="T140" s="238"/>
      <c r="U140" s="244"/>
      <c r="V140" s="238"/>
      <c r="W140" s="238"/>
      <c r="X140" s="238"/>
      <c r="Y140" s="238"/>
      <c r="AC140" s="164" t="s">
        <v>141</v>
      </c>
      <c r="AD140" s="164">
        <v>48</v>
      </c>
      <c r="AE140" s="165">
        <v>9</v>
      </c>
      <c r="AF140" s="165">
        <v>9</v>
      </c>
      <c r="AG140" s="165">
        <v>9</v>
      </c>
      <c r="AH140" s="165">
        <v>9</v>
      </c>
      <c r="AI140" s="165">
        <v>24</v>
      </c>
      <c r="AJ140" s="501"/>
      <c r="AK140" s="241">
        <f t="shared" ca="1" si="185"/>
        <v>51.604444444444425</v>
      </c>
      <c r="AL140" s="167">
        <f t="shared" ca="1" si="194"/>
        <v>7.7406666666666641</v>
      </c>
      <c r="AM140" s="167">
        <f t="shared" ca="1" si="195"/>
        <v>7.7406666666666641</v>
      </c>
      <c r="AN140" s="167">
        <f t="shared" ca="1" si="196"/>
        <v>7.7406666666666641</v>
      </c>
      <c r="AO140" s="167">
        <f t="shared" ca="1" si="197"/>
        <v>7.7406666666666641</v>
      </c>
      <c r="AP140" s="167">
        <f t="shared" ca="1" si="198"/>
        <v>20.641777777777769</v>
      </c>
      <c r="AQ140" s="242">
        <f t="shared" ca="1" si="186"/>
        <v>66.304666666666662</v>
      </c>
      <c r="AR140" s="170">
        <f ca="1">INDEX('Cap based on indoor unit SZ'!$J$6:$J$21,MATCH(AE140,'Cap based on indoor unit SZ'!$I$6:$I$21))</f>
        <v>10.463111111111111</v>
      </c>
      <c r="AS140" s="170">
        <f ca="1">INDEX('Cap based on indoor unit SZ'!$J$6:$J$21,MATCH(AF140,'Cap based on indoor unit SZ'!$I$6:$I$21))</f>
        <v>10.463111111111111</v>
      </c>
      <c r="AT140" s="170">
        <f ca="1">INDEX('Cap based on indoor unit SZ'!$J$6:$J$21,MATCH(AG140,'Cap based on indoor unit SZ'!$I$6:$I$21))</f>
        <v>10.463111111111111</v>
      </c>
      <c r="AU140" s="170">
        <f ca="1">INDEX('Cap based on indoor unit SZ'!$J$6:$J$21,MATCH(AH140,'Cap based on indoor unit SZ'!$I$6:$I$21))</f>
        <v>10.463111111111111</v>
      </c>
      <c r="AV140" s="170">
        <f ca="1">INDEX('Cap based on indoor unit SZ'!$J$6:$J$21,MATCH(AI140,'Cap based on indoor unit SZ'!$I$6:$I$21))</f>
        <v>24.452222222222218</v>
      </c>
      <c r="AW140" s="242">
        <f t="shared" si="140"/>
        <v>52</v>
      </c>
      <c r="AX140" s="170">
        <v>8</v>
      </c>
      <c r="AY140" s="170">
        <v>8</v>
      </c>
      <c r="AZ140" s="170">
        <v>8</v>
      </c>
      <c r="BA140" s="170">
        <v>8</v>
      </c>
      <c r="BB140" s="170">
        <v>20</v>
      </c>
      <c r="BC140" s="243">
        <f t="shared" ca="1" si="187"/>
        <v>51.604444444444425</v>
      </c>
      <c r="BD140" s="173">
        <f t="shared" ca="1" si="199"/>
        <v>7.7406666666666641</v>
      </c>
      <c r="BE140" s="173">
        <f t="shared" ca="1" si="200"/>
        <v>7.7406666666666641</v>
      </c>
      <c r="BF140" s="173">
        <f t="shared" ca="1" si="201"/>
        <v>7.7406666666666641</v>
      </c>
      <c r="BG140" s="173">
        <f t="shared" ca="1" si="202"/>
        <v>7.7406666666666641</v>
      </c>
      <c r="BH140" s="173">
        <f t="shared" ca="1" si="203"/>
        <v>20.641777777777769</v>
      </c>
      <c r="BI140" s="241">
        <f t="shared" ca="1" si="188"/>
        <v>55.836427350427357</v>
      </c>
      <c r="BJ140" s="167">
        <f t="shared" ca="1" si="204"/>
        <v>8.3754641025641039</v>
      </c>
      <c r="BK140" s="167">
        <f t="shared" ca="1" si="205"/>
        <v>8.3754641025641039</v>
      </c>
      <c r="BL140" s="167">
        <f t="shared" ca="1" si="206"/>
        <v>8.3754641025641039</v>
      </c>
      <c r="BM140" s="167">
        <f t="shared" ca="1" si="207"/>
        <v>8.3754641025641039</v>
      </c>
      <c r="BN140" s="167">
        <f t="shared" ca="1" si="208"/>
        <v>22.334570940170941</v>
      </c>
      <c r="BO140" s="242">
        <f t="shared" ca="1" si="189"/>
        <v>78.114082051282054</v>
      </c>
      <c r="BP140" s="170">
        <f ca="1">INDEX('Cap based on indoor unit SZ'!$V$43:$V$58,MATCH(AE140,'Cap based on indoor unit SZ'!$U$43:$U$58))</f>
        <v>11.956020512820512</v>
      </c>
      <c r="BQ140" s="170">
        <f ca="1">INDEX('Cap based on indoor unit SZ'!$V$43:$V$58,MATCH(AF140,'Cap based on indoor unit SZ'!$U$43:$U$58))</f>
        <v>11.956020512820512</v>
      </c>
      <c r="BR140" s="170">
        <f ca="1">INDEX('Cap based on indoor unit SZ'!$V$43:$V$58,MATCH(AG140,'Cap based on indoor unit SZ'!$U$43:$U$58))</f>
        <v>11.956020512820512</v>
      </c>
      <c r="BS140" s="170">
        <f ca="1">INDEX('Cap based on indoor unit SZ'!$V$43:$V$58,MATCH(AH140,'Cap based on indoor unit SZ'!$U$43:$U$58))</f>
        <v>11.956020512820512</v>
      </c>
      <c r="BT140" s="170">
        <f ca="1">INDEX('Cap based on indoor unit SZ'!$V$43:$V$58,MATCH(AI140,'Cap based on indoor unit SZ'!$U$43:$U$58))</f>
        <v>30.290000000000003</v>
      </c>
      <c r="BU140" s="175">
        <v>8500</v>
      </c>
      <c r="BV140" s="175">
        <v>8500</v>
      </c>
      <c r="BW140" s="175">
        <v>8500</v>
      </c>
      <c r="BX140" s="175">
        <v>8500</v>
      </c>
      <c r="BY140" s="175">
        <v>20500</v>
      </c>
      <c r="BZ140" s="243">
        <f t="shared" ca="1" si="190"/>
        <v>55.836427350427357</v>
      </c>
      <c r="CA140" s="173">
        <f t="shared" ca="1" si="209"/>
        <v>8.3754641025641039</v>
      </c>
      <c r="CB140" s="173">
        <f t="shared" ca="1" si="210"/>
        <v>8.3754641025641039</v>
      </c>
      <c r="CC140" s="173">
        <f t="shared" ca="1" si="211"/>
        <v>8.3754641025641039</v>
      </c>
      <c r="CD140" s="173">
        <f t="shared" ca="1" si="212"/>
        <v>8.3754641025641039</v>
      </c>
      <c r="CE140" s="173">
        <f t="shared" ca="1" si="213"/>
        <v>22.334570940170941</v>
      </c>
      <c r="CF140" s="241">
        <f t="shared" ca="1" si="191"/>
        <v>41.911114741587568</v>
      </c>
      <c r="CG140" s="167">
        <f t="shared" ca="1" si="192"/>
        <v>6.286667211238135</v>
      </c>
      <c r="CH140" s="167">
        <f t="shared" ca="1" si="193"/>
        <v>6.286667211238135</v>
      </c>
      <c r="CI140" s="167">
        <f t="shared" ca="1" si="166"/>
        <v>6.286667211238135</v>
      </c>
      <c r="CJ140" s="167">
        <f t="shared" ca="1" si="184"/>
        <v>6.286667211238135</v>
      </c>
      <c r="CK140" s="167">
        <f t="shared" ca="1" si="214"/>
        <v>16.764445896635024</v>
      </c>
    </row>
    <row r="141" spans="2:89">
      <c r="B141" s="197">
        <v>18</v>
      </c>
      <c r="C141" s="197">
        <v>71.599999999999994</v>
      </c>
      <c r="D141" s="197"/>
      <c r="E141" s="198" t="s">
        <v>17</v>
      </c>
      <c r="F141" s="199">
        <v>1.44</v>
      </c>
      <c r="G141" s="201">
        <v>1.47</v>
      </c>
      <c r="H141" s="201">
        <v>1.49</v>
      </c>
      <c r="I141" s="201">
        <v>1.5</v>
      </c>
      <c r="J141" s="201">
        <v>2.0099999999999998</v>
      </c>
      <c r="K141" s="201">
        <v>1.66</v>
      </c>
      <c r="L141" s="201">
        <v>1.71</v>
      </c>
      <c r="M141" s="201">
        <v>1.79</v>
      </c>
      <c r="N141" s="201">
        <v>1.83</v>
      </c>
      <c r="O141" s="201">
        <v>1.91</v>
      </c>
      <c r="P141" s="201">
        <v>1.98</v>
      </c>
      <c r="Q141" s="201">
        <v>2</v>
      </c>
      <c r="R141" s="239"/>
      <c r="S141" s="239"/>
      <c r="T141" s="239"/>
      <c r="U141" s="245"/>
      <c r="V141" s="239"/>
      <c r="W141" s="239"/>
      <c r="X141" s="239"/>
      <c r="Y141" s="239"/>
      <c r="AC141" s="164" t="s">
        <v>140</v>
      </c>
      <c r="AD141" s="164">
        <v>48</v>
      </c>
      <c r="AE141" s="165">
        <v>9</v>
      </c>
      <c r="AF141" s="165">
        <v>9</v>
      </c>
      <c r="AG141" s="165">
        <v>9</v>
      </c>
      <c r="AH141" s="165">
        <v>12</v>
      </c>
      <c r="AI141" s="165">
        <v>12</v>
      </c>
      <c r="AJ141" s="501"/>
      <c r="AK141" s="241">
        <f t="shared" ca="1" si="185"/>
        <v>51.604444444444425</v>
      </c>
      <c r="AL141" s="167">
        <f t="shared" ca="1" si="194"/>
        <v>9.1066666666666638</v>
      </c>
      <c r="AM141" s="167">
        <f t="shared" ca="1" si="195"/>
        <v>9.1066666666666638</v>
      </c>
      <c r="AN141" s="167">
        <f t="shared" ca="1" si="196"/>
        <v>9.1066666666666638</v>
      </c>
      <c r="AO141" s="167">
        <f t="shared" ca="1" si="197"/>
        <v>12.142222222222218</v>
      </c>
      <c r="AP141" s="167">
        <f t="shared" ca="1" si="198"/>
        <v>12.142222222222218</v>
      </c>
      <c r="AQ141" s="242">
        <f t="shared" ca="1" si="186"/>
        <v>57.547111111111114</v>
      </c>
      <c r="AR141" s="170">
        <f ca="1">INDEX('Cap based on indoor unit SZ'!$J$6:$J$21,MATCH(AE141,'Cap based on indoor unit SZ'!$I$6:$I$21))</f>
        <v>10.463111111111111</v>
      </c>
      <c r="AS141" s="170">
        <f ca="1">INDEX('Cap based on indoor unit SZ'!$J$6:$J$21,MATCH(AF141,'Cap based on indoor unit SZ'!$I$6:$I$21))</f>
        <v>10.463111111111111</v>
      </c>
      <c r="AT141" s="170">
        <f ca="1">INDEX('Cap based on indoor unit SZ'!$J$6:$J$21,MATCH(AG141,'Cap based on indoor unit SZ'!$I$6:$I$21))</f>
        <v>10.463111111111111</v>
      </c>
      <c r="AU141" s="170">
        <f ca="1">INDEX('Cap based on indoor unit SZ'!$J$6:$J$21,MATCH(AH141,'Cap based on indoor unit SZ'!$I$6:$I$21))</f>
        <v>13.078888888888891</v>
      </c>
      <c r="AV141" s="170">
        <f ca="1">INDEX('Cap based on indoor unit SZ'!$J$6:$J$21,MATCH(AI141,'Cap based on indoor unit SZ'!$I$6:$I$21))</f>
        <v>13.078888888888891</v>
      </c>
      <c r="AW141" s="242">
        <f t="shared" si="140"/>
        <v>49</v>
      </c>
      <c r="AX141" s="170">
        <v>9</v>
      </c>
      <c r="AY141" s="170">
        <v>9</v>
      </c>
      <c r="AZ141" s="170">
        <v>9</v>
      </c>
      <c r="BA141" s="170">
        <v>11</v>
      </c>
      <c r="BB141" s="170">
        <v>11</v>
      </c>
      <c r="BC141" s="243">
        <f t="shared" ca="1" si="187"/>
        <v>51.604444444444425</v>
      </c>
      <c r="BD141" s="173">
        <f t="shared" ca="1" si="199"/>
        <v>9.1066666666666638</v>
      </c>
      <c r="BE141" s="173">
        <f t="shared" ca="1" si="200"/>
        <v>9.1066666666666638</v>
      </c>
      <c r="BF141" s="173">
        <f t="shared" ca="1" si="201"/>
        <v>9.1066666666666638</v>
      </c>
      <c r="BG141" s="173">
        <f t="shared" ca="1" si="202"/>
        <v>12.142222222222218</v>
      </c>
      <c r="BH141" s="173">
        <f t="shared" ca="1" si="203"/>
        <v>12.142222222222218</v>
      </c>
      <c r="BI141" s="241">
        <f t="shared" ca="1" si="188"/>
        <v>55.836427350427364</v>
      </c>
      <c r="BJ141" s="167">
        <f t="shared" ca="1" si="204"/>
        <v>9.8534871794871819</v>
      </c>
      <c r="BK141" s="167">
        <f t="shared" ca="1" si="205"/>
        <v>9.8534871794871819</v>
      </c>
      <c r="BL141" s="167">
        <f t="shared" ca="1" si="206"/>
        <v>9.8534871794871819</v>
      </c>
      <c r="BM141" s="167">
        <f t="shared" ca="1" si="207"/>
        <v>13.137982905982909</v>
      </c>
      <c r="BN141" s="167">
        <f t="shared" ca="1" si="208"/>
        <v>13.137982905982909</v>
      </c>
      <c r="BO141" s="242">
        <f t="shared" ca="1" si="189"/>
        <v>65.758112820512807</v>
      </c>
      <c r="BP141" s="170">
        <f ca="1">INDEX('Cap based on indoor unit SZ'!$V$43:$V$58,MATCH(AE141,'Cap based on indoor unit SZ'!$U$43:$U$58))</f>
        <v>11.956020512820512</v>
      </c>
      <c r="BQ141" s="170">
        <f ca="1">INDEX('Cap based on indoor unit SZ'!$V$43:$V$58,MATCH(AF141,'Cap based on indoor unit SZ'!$U$43:$U$58))</f>
        <v>11.956020512820512</v>
      </c>
      <c r="BR141" s="170">
        <f ca="1">INDEX('Cap based on indoor unit SZ'!$V$43:$V$58,MATCH(AG141,'Cap based on indoor unit SZ'!$U$43:$U$58))</f>
        <v>11.956020512820512</v>
      </c>
      <c r="BS141" s="170">
        <f ca="1">INDEX('Cap based on indoor unit SZ'!$V$43:$V$58,MATCH(AH141,'Cap based on indoor unit SZ'!$U$43:$U$58))</f>
        <v>14.945025641025641</v>
      </c>
      <c r="BT141" s="170">
        <f ca="1">INDEX('Cap based on indoor unit SZ'!$V$43:$V$58,MATCH(AI141,'Cap based on indoor unit SZ'!$U$43:$U$58))</f>
        <v>14.945025641025641</v>
      </c>
      <c r="BU141" s="175">
        <v>9000</v>
      </c>
      <c r="BV141" s="175">
        <v>9000</v>
      </c>
      <c r="BW141" s="175">
        <v>9000</v>
      </c>
      <c r="BX141" s="175">
        <v>12000</v>
      </c>
      <c r="BY141" s="175">
        <v>12000</v>
      </c>
      <c r="BZ141" s="243">
        <f t="shared" ca="1" si="190"/>
        <v>55.836427350427364</v>
      </c>
      <c r="CA141" s="173">
        <f t="shared" ca="1" si="209"/>
        <v>9.8534871794871819</v>
      </c>
      <c r="CB141" s="173">
        <f t="shared" ca="1" si="210"/>
        <v>9.8534871794871819</v>
      </c>
      <c r="CC141" s="173">
        <f t="shared" ca="1" si="211"/>
        <v>9.8534871794871819</v>
      </c>
      <c r="CD141" s="173">
        <f t="shared" ca="1" si="212"/>
        <v>13.137982905982909</v>
      </c>
      <c r="CE141" s="173">
        <f t="shared" ca="1" si="213"/>
        <v>13.137982905982909</v>
      </c>
      <c r="CF141" s="241">
        <f t="shared" ca="1" si="191"/>
        <v>41.911114741587568</v>
      </c>
      <c r="CG141" s="167">
        <f t="shared" ca="1" si="192"/>
        <v>7.3960790720448646</v>
      </c>
      <c r="CH141" s="167">
        <f t="shared" ca="1" si="193"/>
        <v>7.3960790720448646</v>
      </c>
      <c r="CI141" s="167">
        <f t="shared" ca="1" si="166"/>
        <v>7.3960790720448646</v>
      </c>
      <c r="CJ141" s="167">
        <f t="shared" ca="1" si="184"/>
        <v>9.8614387627264861</v>
      </c>
      <c r="CK141" s="167">
        <f t="shared" ca="1" si="214"/>
        <v>9.8614387627264861</v>
      </c>
    </row>
    <row r="142" spans="2:89">
      <c r="B142" s="197">
        <v>24</v>
      </c>
      <c r="C142" s="197">
        <v>59</v>
      </c>
      <c r="D142" s="197"/>
      <c r="E142" s="198" t="s">
        <v>17</v>
      </c>
      <c r="F142" s="199">
        <v>2.93</v>
      </c>
      <c r="G142" s="201">
        <v>3.19</v>
      </c>
      <c r="H142" s="201">
        <v>3.23</v>
      </c>
      <c r="I142" s="201">
        <v>3.45</v>
      </c>
      <c r="J142" s="201">
        <v>3.63</v>
      </c>
      <c r="K142" s="201">
        <v>2.66</v>
      </c>
      <c r="L142" s="201">
        <v>2.79</v>
      </c>
      <c r="M142" s="201">
        <v>2.87</v>
      </c>
      <c r="N142" s="201">
        <v>2.65</v>
      </c>
      <c r="O142" s="201">
        <v>2.78</v>
      </c>
      <c r="P142" s="201">
        <v>2.96</v>
      </c>
      <c r="Q142" s="201">
        <v>2.71</v>
      </c>
      <c r="R142" s="238"/>
      <c r="S142" s="238"/>
      <c r="T142" s="238"/>
      <c r="U142" s="244"/>
      <c r="V142" s="238"/>
      <c r="W142" s="238"/>
      <c r="X142" s="238"/>
      <c r="Y142" s="238"/>
      <c r="AC142" s="164" t="s">
        <v>139</v>
      </c>
      <c r="AD142" s="164">
        <v>48</v>
      </c>
      <c r="AE142" s="165">
        <v>9</v>
      </c>
      <c r="AF142" s="165">
        <v>9</v>
      </c>
      <c r="AG142" s="165">
        <v>9</v>
      </c>
      <c r="AH142" s="165">
        <v>12</v>
      </c>
      <c r="AI142" s="165">
        <v>18</v>
      </c>
      <c r="AJ142" s="501"/>
      <c r="AK142" s="241">
        <f t="shared" ca="1" si="185"/>
        <v>51.604444444444432</v>
      </c>
      <c r="AL142" s="167">
        <f t="shared" ca="1" si="194"/>
        <v>8.148070175438594</v>
      </c>
      <c r="AM142" s="167">
        <f t="shared" ca="1" si="195"/>
        <v>8.148070175438594</v>
      </c>
      <c r="AN142" s="167">
        <f t="shared" ca="1" si="196"/>
        <v>8.148070175438594</v>
      </c>
      <c r="AO142" s="167">
        <f t="shared" ca="1" si="197"/>
        <v>10.864093567251459</v>
      </c>
      <c r="AP142" s="167">
        <f t="shared" ca="1" si="198"/>
        <v>16.296140350877188</v>
      </c>
      <c r="AQ142" s="242">
        <f t="shared" ca="1" si="186"/>
        <v>64.289333333333332</v>
      </c>
      <c r="AR142" s="170">
        <f ca="1">INDEX('Cap based on indoor unit SZ'!$J$6:$J$21,MATCH(AE142,'Cap based on indoor unit SZ'!$I$6:$I$21))</f>
        <v>10.463111111111111</v>
      </c>
      <c r="AS142" s="170">
        <f ca="1">INDEX('Cap based on indoor unit SZ'!$J$6:$J$21,MATCH(AF142,'Cap based on indoor unit SZ'!$I$6:$I$21))</f>
        <v>10.463111111111111</v>
      </c>
      <c r="AT142" s="170">
        <f ca="1">INDEX('Cap based on indoor unit SZ'!$J$6:$J$21,MATCH(AG142,'Cap based on indoor unit SZ'!$I$6:$I$21))</f>
        <v>10.463111111111111</v>
      </c>
      <c r="AU142" s="170">
        <f ca="1">INDEX('Cap based on indoor unit SZ'!$J$6:$J$21,MATCH(AH142,'Cap based on indoor unit SZ'!$I$6:$I$21))</f>
        <v>13.078888888888891</v>
      </c>
      <c r="AV142" s="170">
        <f ca="1">INDEX('Cap based on indoor unit SZ'!$J$6:$J$21,MATCH(AI142,'Cap based on indoor unit SZ'!$I$6:$I$21))</f>
        <v>19.821111111111112</v>
      </c>
      <c r="AW142" s="242">
        <f t="shared" si="140"/>
        <v>51</v>
      </c>
      <c r="AX142" s="170">
        <v>8</v>
      </c>
      <c r="AY142" s="170">
        <v>8</v>
      </c>
      <c r="AZ142" s="170">
        <v>8</v>
      </c>
      <c r="BA142" s="170">
        <v>11</v>
      </c>
      <c r="BB142" s="170">
        <v>16</v>
      </c>
      <c r="BC142" s="243">
        <f t="shared" ca="1" si="187"/>
        <v>51.604444444444432</v>
      </c>
      <c r="BD142" s="173">
        <f t="shared" ca="1" si="199"/>
        <v>8.148070175438594</v>
      </c>
      <c r="BE142" s="173">
        <f t="shared" ca="1" si="200"/>
        <v>8.148070175438594</v>
      </c>
      <c r="BF142" s="173">
        <f t="shared" ca="1" si="201"/>
        <v>8.148070175438594</v>
      </c>
      <c r="BG142" s="173">
        <f t="shared" ca="1" si="202"/>
        <v>10.864093567251459</v>
      </c>
      <c r="BH142" s="173">
        <f t="shared" ca="1" si="203"/>
        <v>16.296140350877188</v>
      </c>
      <c r="BI142" s="241">
        <f t="shared" ca="1" si="188"/>
        <v>55.836427350427364</v>
      </c>
      <c r="BJ142" s="167">
        <f t="shared" ca="1" si="204"/>
        <v>8.8162780026990575</v>
      </c>
      <c r="BK142" s="167">
        <f t="shared" ca="1" si="205"/>
        <v>8.8162780026990575</v>
      </c>
      <c r="BL142" s="167">
        <f t="shared" ca="1" si="206"/>
        <v>8.8162780026990575</v>
      </c>
      <c r="BM142" s="167">
        <f t="shared" ca="1" si="207"/>
        <v>11.755037336932077</v>
      </c>
      <c r="BN142" s="167">
        <f t="shared" ca="1" si="208"/>
        <v>17.632556005398115</v>
      </c>
      <c r="BO142" s="242">
        <f t="shared" ca="1" si="189"/>
        <v>75.411907692307679</v>
      </c>
      <c r="BP142" s="170">
        <f ca="1">INDEX('Cap based on indoor unit SZ'!$V$43:$V$58,MATCH(AE142,'Cap based on indoor unit SZ'!$U$43:$U$58))</f>
        <v>11.956020512820512</v>
      </c>
      <c r="BQ142" s="170">
        <f ca="1">INDEX('Cap based on indoor unit SZ'!$V$43:$V$58,MATCH(AF142,'Cap based on indoor unit SZ'!$U$43:$U$58))</f>
        <v>11.956020512820512</v>
      </c>
      <c r="BR142" s="170">
        <f ca="1">INDEX('Cap based on indoor unit SZ'!$V$43:$V$58,MATCH(AG142,'Cap based on indoor unit SZ'!$U$43:$U$58))</f>
        <v>11.956020512820512</v>
      </c>
      <c r="BS142" s="170">
        <f ca="1">INDEX('Cap based on indoor unit SZ'!$V$43:$V$58,MATCH(AH142,'Cap based on indoor unit SZ'!$U$43:$U$58))</f>
        <v>14.945025641025641</v>
      </c>
      <c r="BT142" s="170">
        <f ca="1">INDEX('Cap based on indoor unit SZ'!$V$43:$V$58,MATCH(AI142,'Cap based on indoor unit SZ'!$U$43:$U$58))</f>
        <v>24.598820512820513</v>
      </c>
      <c r="BU142" s="175">
        <v>8500</v>
      </c>
      <c r="BV142" s="175">
        <v>8500</v>
      </c>
      <c r="BW142" s="175">
        <v>8500</v>
      </c>
      <c r="BX142" s="175">
        <v>11500</v>
      </c>
      <c r="BY142" s="175">
        <v>17000</v>
      </c>
      <c r="BZ142" s="243">
        <f t="shared" ca="1" si="190"/>
        <v>55.836427350427364</v>
      </c>
      <c r="CA142" s="173">
        <f t="shared" ca="1" si="209"/>
        <v>8.8162780026990575</v>
      </c>
      <c r="CB142" s="173">
        <f t="shared" ca="1" si="210"/>
        <v>8.8162780026990575</v>
      </c>
      <c r="CC142" s="173">
        <f t="shared" ca="1" si="211"/>
        <v>8.8162780026990575</v>
      </c>
      <c r="CD142" s="173">
        <f t="shared" ca="1" si="212"/>
        <v>11.755037336932077</v>
      </c>
      <c r="CE142" s="173">
        <f t="shared" ca="1" si="213"/>
        <v>17.632556005398115</v>
      </c>
      <c r="CF142" s="241">
        <f t="shared" ca="1" si="191"/>
        <v>41.911114741587568</v>
      </c>
      <c r="CG142" s="167">
        <f t="shared" ca="1" si="192"/>
        <v>6.617544432882247</v>
      </c>
      <c r="CH142" s="167">
        <f t="shared" ca="1" si="193"/>
        <v>6.617544432882247</v>
      </c>
      <c r="CI142" s="167">
        <f t="shared" ca="1" si="166"/>
        <v>6.617544432882247</v>
      </c>
      <c r="CJ142" s="167">
        <f t="shared" ca="1" si="184"/>
        <v>8.82339257717633</v>
      </c>
      <c r="CK142" s="167">
        <f t="shared" ca="1" si="214"/>
        <v>13.235088865764494</v>
      </c>
    </row>
    <row r="143" spans="2:89">
      <c r="B143" s="197">
        <v>24</v>
      </c>
      <c r="C143" s="197">
        <v>64.400000000000006</v>
      </c>
      <c r="D143" s="197"/>
      <c r="E143" s="198" t="s">
        <v>17</v>
      </c>
      <c r="F143" s="199">
        <v>3</v>
      </c>
      <c r="G143" s="201">
        <v>3.27</v>
      </c>
      <c r="H143" s="201">
        <v>3.31</v>
      </c>
      <c r="I143" s="201">
        <v>3.53</v>
      </c>
      <c r="J143" s="201">
        <v>3.74</v>
      </c>
      <c r="K143" s="201">
        <v>2.73</v>
      </c>
      <c r="L143" s="201">
        <v>2.86</v>
      </c>
      <c r="M143" s="201">
        <v>2.94</v>
      </c>
      <c r="N143" s="201">
        <v>2.72</v>
      </c>
      <c r="O143" s="201">
        <v>2.89</v>
      </c>
      <c r="P143" s="201">
        <v>2.99</v>
      </c>
      <c r="Q143" s="201">
        <v>2.74</v>
      </c>
      <c r="R143" s="238"/>
      <c r="S143" s="238"/>
      <c r="T143" s="238"/>
      <c r="U143" s="244"/>
      <c r="V143" s="238"/>
      <c r="W143" s="238"/>
      <c r="X143" s="238"/>
      <c r="Y143" s="238"/>
      <c r="AC143" s="164" t="s">
        <v>138</v>
      </c>
      <c r="AD143" s="164">
        <v>48</v>
      </c>
      <c r="AE143" s="165">
        <v>9</v>
      </c>
      <c r="AF143" s="165">
        <v>9</v>
      </c>
      <c r="AG143" s="165">
        <v>9</v>
      </c>
      <c r="AH143" s="165">
        <v>18</v>
      </c>
      <c r="AI143" s="165">
        <v>18</v>
      </c>
      <c r="AJ143" s="501"/>
      <c r="AK143" s="241">
        <f t="shared" ca="1" si="185"/>
        <v>51.604444444444425</v>
      </c>
      <c r="AL143" s="167">
        <f t="shared" ca="1" si="194"/>
        <v>7.3720634920634893</v>
      </c>
      <c r="AM143" s="167">
        <f t="shared" ca="1" si="195"/>
        <v>7.3720634920634893</v>
      </c>
      <c r="AN143" s="167">
        <f t="shared" ca="1" si="196"/>
        <v>7.3720634920634893</v>
      </c>
      <c r="AO143" s="167">
        <f t="shared" ca="1" si="197"/>
        <v>14.744126984126979</v>
      </c>
      <c r="AP143" s="167">
        <f t="shared" ca="1" si="198"/>
        <v>14.744126984126979</v>
      </c>
      <c r="AQ143" s="242">
        <f t="shared" ca="1" si="186"/>
        <v>71.031555555555556</v>
      </c>
      <c r="AR143" s="170">
        <f ca="1">INDEX('Cap based on indoor unit SZ'!$J$6:$J$21,MATCH(AE143,'Cap based on indoor unit SZ'!$I$6:$I$21))</f>
        <v>10.463111111111111</v>
      </c>
      <c r="AS143" s="170">
        <f ca="1">INDEX('Cap based on indoor unit SZ'!$J$6:$J$21,MATCH(AF143,'Cap based on indoor unit SZ'!$I$6:$I$21))</f>
        <v>10.463111111111111</v>
      </c>
      <c r="AT143" s="170">
        <f ca="1">INDEX('Cap based on indoor unit SZ'!$J$6:$J$21,MATCH(AG143,'Cap based on indoor unit SZ'!$I$6:$I$21))</f>
        <v>10.463111111111111</v>
      </c>
      <c r="AU143" s="170">
        <f ca="1">INDEX('Cap based on indoor unit SZ'!$J$6:$J$21,MATCH(AH143,'Cap based on indoor unit SZ'!$I$6:$I$21))</f>
        <v>19.821111111111112</v>
      </c>
      <c r="AV143" s="170">
        <f ca="1">INDEX('Cap based on indoor unit SZ'!$J$6:$J$21,MATCH(AI143,'Cap based on indoor unit SZ'!$I$6:$I$21))</f>
        <v>19.821111111111112</v>
      </c>
      <c r="AW143" s="242">
        <f t="shared" si="140"/>
        <v>52.5</v>
      </c>
      <c r="AX143" s="170">
        <v>7.5</v>
      </c>
      <c r="AY143" s="170">
        <v>7.5</v>
      </c>
      <c r="AZ143" s="170">
        <v>7.5</v>
      </c>
      <c r="BA143" s="170">
        <v>15</v>
      </c>
      <c r="BB143" s="170">
        <v>15</v>
      </c>
      <c r="BC143" s="243">
        <f t="shared" ca="1" si="187"/>
        <v>51.604444444444425</v>
      </c>
      <c r="BD143" s="173">
        <f t="shared" ca="1" si="199"/>
        <v>7.3720634920634893</v>
      </c>
      <c r="BE143" s="173">
        <f t="shared" ca="1" si="200"/>
        <v>7.3720634920634893</v>
      </c>
      <c r="BF143" s="173">
        <f t="shared" ca="1" si="201"/>
        <v>7.3720634920634893</v>
      </c>
      <c r="BG143" s="173">
        <f t="shared" ca="1" si="202"/>
        <v>14.744126984126979</v>
      </c>
      <c r="BH143" s="173">
        <f t="shared" ca="1" si="203"/>
        <v>14.744126984126979</v>
      </c>
      <c r="BI143" s="241">
        <f t="shared" ca="1" si="188"/>
        <v>55.836427350427357</v>
      </c>
      <c r="BJ143" s="167">
        <f t="shared" ca="1" si="204"/>
        <v>7.9766324786324798</v>
      </c>
      <c r="BK143" s="167">
        <f t="shared" ca="1" si="205"/>
        <v>7.9766324786324798</v>
      </c>
      <c r="BL143" s="167">
        <f t="shared" ca="1" si="206"/>
        <v>7.9766324786324798</v>
      </c>
      <c r="BM143" s="167">
        <f t="shared" ca="1" si="207"/>
        <v>15.95326495726496</v>
      </c>
      <c r="BN143" s="167">
        <f t="shared" ca="1" si="208"/>
        <v>15.95326495726496</v>
      </c>
      <c r="BO143" s="242">
        <f t="shared" ca="1" si="189"/>
        <v>85.065702564102551</v>
      </c>
      <c r="BP143" s="170">
        <f ca="1">INDEX('Cap based on indoor unit SZ'!$V$43:$V$58,MATCH(AE143,'Cap based on indoor unit SZ'!$U$43:$U$58))</f>
        <v>11.956020512820512</v>
      </c>
      <c r="BQ143" s="170">
        <f ca="1">INDEX('Cap based on indoor unit SZ'!$V$43:$V$58,MATCH(AF143,'Cap based on indoor unit SZ'!$U$43:$U$58))</f>
        <v>11.956020512820512</v>
      </c>
      <c r="BR143" s="170">
        <f ca="1">INDEX('Cap based on indoor unit SZ'!$V$43:$V$58,MATCH(AG143,'Cap based on indoor unit SZ'!$U$43:$U$58))</f>
        <v>11.956020512820512</v>
      </c>
      <c r="BS143" s="170">
        <f ca="1">INDEX('Cap based on indoor unit SZ'!$V$43:$V$58,MATCH(AH143,'Cap based on indoor unit SZ'!$U$43:$U$58))</f>
        <v>24.598820512820513</v>
      </c>
      <c r="BT143" s="170">
        <f ca="1">INDEX('Cap based on indoor unit SZ'!$V$43:$V$58,MATCH(AI143,'Cap based on indoor unit SZ'!$U$43:$U$58))</f>
        <v>24.598820512820513</v>
      </c>
      <c r="BU143" s="175">
        <v>8000</v>
      </c>
      <c r="BV143" s="175">
        <v>8000</v>
      </c>
      <c r="BW143" s="175">
        <v>8000</v>
      </c>
      <c r="BX143" s="175">
        <v>15500</v>
      </c>
      <c r="BY143" s="175">
        <v>15500</v>
      </c>
      <c r="BZ143" s="243">
        <f t="shared" ca="1" si="190"/>
        <v>55.836427350427357</v>
      </c>
      <c r="CA143" s="173">
        <f t="shared" ca="1" si="209"/>
        <v>7.9766324786324798</v>
      </c>
      <c r="CB143" s="173">
        <f t="shared" ca="1" si="210"/>
        <v>7.9766324786324798</v>
      </c>
      <c r="CC143" s="173">
        <f t="shared" ca="1" si="211"/>
        <v>7.9766324786324798</v>
      </c>
      <c r="CD143" s="173">
        <f t="shared" ca="1" si="212"/>
        <v>15.95326495726496</v>
      </c>
      <c r="CE143" s="173">
        <f t="shared" ca="1" si="213"/>
        <v>15.95326495726496</v>
      </c>
      <c r="CF143" s="241">
        <f t="shared" ca="1" si="191"/>
        <v>41.911114741587561</v>
      </c>
      <c r="CG143" s="167">
        <f t="shared" ca="1" si="192"/>
        <v>5.9873021059410805</v>
      </c>
      <c r="CH143" s="167">
        <f t="shared" ca="1" si="193"/>
        <v>5.9873021059410805</v>
      </c>
      <c r="CI143" s="167">
        <f t="shared" ca="1" si="166"/>
        <v>5.9873021059410805</v>
      </c>
      <c r="CJ143" s="167">
        <f t="shared" ca="1" si="184"/>
        <v>11.974604211882161</v>
      </c>
      <c r="CK143" s="167">
        <f t="shared" ca="1" si="214"/>
        <v>11.974604211882161</v>
      </c>
    </row>
    <row r="144" spans="2:89">
      <c r="B144" s="197">
        <v>24</v>
      </c>
      <c r="C144" s="197">
        <v>69</v>
      </c>
      <c r="D144" s="197"/>
      <c r="E144" s="198" t="s">
        <v>17</v>
      </c>
      <c r="F144" s="199">
        <v>3.07</v>
      </c>
      <c r="G144" s="201">
        <v>3.34</v>
      </c>
      <c r="H144" s="201">
        <v>3.38</v>
      </c>
      <c r="I144" s="201">
        <v>3.61</v>
      </c>
      <c r="J144" s="201">
        <v>3.9</v>
      </c>
      <c r="K144" s="201">
        <v>2.79</v>
      </c>
      <c r="L144" s="201">
        <v>2.92</v>
      </c>
      <c r="M144" s="201">
        <v>3.01</v>
      </c>
      <c r="N144" s="201">
        <v>2.77</v>
      </c>
      <c r="O144" s="201">
        <v>2.96</v>
      </c>
      <c r="P144" s="201">
        <v>3.04</v>
      </c>
      <c r="Q144" s="201">
        <v>3.17</v>
      </c>
      <c r="R144" s="239"/>
      <c r="S144" s="239"/>
      <c r="T144" s="239"/>
      <c r="U144" s="245"/>
      <c r="V144" s="239"/>
      <c r="W144" s="239"/>
      <c r="X144" s="239"/>
      <c r="Y144" s="239"/>
      <c r="AC144" s="164" t="s">
        <v>137</v>
      </c>
      <c r="AD144" s="164">
        <v>48</v>
      </c>
      <c r="AE144" s="165">
        <v>9</v>
      </c>
      <c r="AF144" s="165">
        <v>9</v>
      </c>
      <c r="AG144" s="165">
        <v>12</v>
      </c>
      <c r="AH144" s="165">
        <v>12</v>
      </c>
      <c r="AI144" s="165">
        <v>12</v>
      </c>
      <c r="AJ144" s="501"/>
      <c r="AK144" s="241">
        <f t="shared" ca="1" si="185"/>
        <v>51.604444444444425</v>
      </c>
      <c r="AL144" s="167">
        <f t="shared" ca="1" si="194"/>
        <v>8.6007407407407381</v>
      </c>
      <c r="AM144" s="167">
        <f t="shared" ca="1" si="195"/>
        <v>8.6007407407407381</v>
      </c>
      <c r="AN144" s="167">
        <f t="shared" ca="1" si="196"/>
        <v>11.46765432098765</v>
      </c>
      <c r="AO144" s="167">
        <f t="shared" ca="1" si="197"/>
        <v>11.46765432098765</v>
      </c>
      <c r="AP144" s="167">
        <f t="shared" ca="1" si="198"/>
        <v>11.46765432098765</v>
      </c>
      <c r="AQ144" s="242">
        <f t="shared" ca="1" si="186"/>
        <v>60.162888888888894</v>
      </c>
      <c r="AR144" s="170">
        <f ca="1">INDEX('Cap based on indoor unit SZ'!$J$6:$J$21,MATCH(AE144,'Cap based on indoor unit SZ'!$I$6:$I$21))</f>
        <v>10.463111111111111</v>
      </c>
      <c r="AS144" s="170">
        <f ca="1">INDEX('Cap based on indoor unit SZ'!$J$6:$J$21,MATCH(AF144,'Cap based on indoor unit SZ'!$I$6:$I$21))</f>
        <v>10.463111111111111</v>
      </c>
      <c r="AT144" s="170">
        <f ca="1">INDEX('Cap based on indoor unit SZ'!$J$6:$J$21,MATCH(AG144,'Cap based on indoor unit SZ'!$I$6:$I$21))</f>
        <v>13.078888888888891</v>
      </c>
      <c r="AU144" s="170">
        <f ca="1">INDEX('Cap based on indoor unit SZ'!$J$6:$J$21,MATCH(AH144,'Cap based on indoor unit SZ'!$I$6:$I$21))</f>
        <v>13.078888888888891</v>
      </c>
      <c r="AV144" s="170">
        <f ca="1">INDEX('Cap based on indoor unit SZ'!$J$6:$J$21,MATCH(AI144,'Cap based on indoor unit SZ'!$I$6:$I$21))</f>
        <v>13.078888888888891</v>
      </c>
      <c r="AW144" s="242">
        <f t="shared" si="140"/>
        <v>50</v>
      </c>
      <c r="AX144" s="170">
        <v>8.5</v>
      </c>
      <c r="AY144" s="170">
        <v>8.5</v>
      </c>
      <c r="AZ144" s="170">
        <v>11</v>
      </c>
      <c r="BA144" s="170">
        <v>11</v>
      </c>
      <c r="BB144" s="170">
        <v>11</v>
      </c>
      <c r="BC144" s="243">
        <f t="shared" ca="1" si="187"/>
        <v>51.604444444444425</v>
      </c>
      <c r="BD144" s="173">
        <f t="shared" ca="1" si="199"/>
        <v>8.6007407407407381</v>
      </c>
      <c r="BE144" s="173">
        <f t="shared" ca="1" si="200"/>
        <v>8.6007407407407381</v>
      </c>
      <c r="BF144" s="173">
        <f t="shared" ca="1" si="201"/>
        <v>11.46765432098765</v>
      </c>
      <c r="BG144" s="173">
        <f t="shared" ca="1" si="202"/>
        <v>11.46765432098765</v>
      </c>
      <c r="BH144" s="173">
        <f t="shared" ca="1" si="203"/>
        <v>11.46765432098765</v>
      </c>
      <c r="BI144" s="241">
        <f t="shared" ca="1" si="188"/>
        <v>55.836427350427357</v>
      </c>
      <c r="BJ144" s="167">
        <f t="shared" ca="1" si="204"/>
        <v>9.3060712250712267</v>
      </c>
      <c r="BK144" s="167">
        <f t="shared" ca="1" si="205"/>
        <v>9.3060712250712267</v>
      </c>
      <c r="BL144" s="167">
        <f t="shared" ca="1" si="206"/>
        <v>12.408094966761634</v>
      </c>
      <c r="BM144" s="167">
        <f t="shared" ca="1" si="207"/>
        <v>12.408094966761634</v>
      </c>
      <c r="BN144" s="167">
        <f t="shared" ca="1" si="208"/>
        <v>12.408094966761634</v>
      </c>
      <c r="BO144" s="242">
        <f t="shared" ca="1" si="189"/>
        <v>68.747117948717943</v>
      </c>
      <c r="BP144" s="170">
        <f ca="1">INDEX('Cap based on indoor unit SZ'!$V$43:$V$58,MATCH(AE144,'Cap based on indoor unit SZ'!$U$43:$U$58))</f>
        <v>11.956020512820512</v>
      </c>
      <c r="BQ144" s="170">
        <f ca="1">INDEX('Cap based on indoor unit SZ'!$V$43:$V$58,MATCH(AF144,'Cap based on indoor unit SZ'!$U$43:$U$58))</f>
        <v>11.956020512820512</v>
      </c>
      <c r="BR144" s="170">
        <f ca="1">INDEX('Cap based on indoor unit SZ'!$V$43:$V$58,MATCH(AG144,'Cap based on indoor unit SZ'!$U$43:$U$58))</f>
        <v>14.945025641025641</v>
      </c>
      <c r="BS144" s="170">
        <f ca="1">INDEX('Cap based on indoor unit SZ'!$V$43:$V$58,MATCH(AH144,'Cap based on indoor unit SZ'!$U$43:$U$58))</f>
        <v>14.945025641025641</v>
      </c>
      <c r="BT144" s="170">
        <f ca="1">INDEX('Cap based on indoor unit SZ'!$V$43:$V$58,MATCH(AI144,'Cap based on indoor unit SZ'!$U$43:$U$58))</f>
        <v>14.945025641025641</v>
      </c>
      <c r="BU144" s="175">
        <v>9000</v>
      </c>
      <c r="BV144" s="175">
        <v>9000</v>
      </c>
      <c r="BW144" s="175">
        <v>12000</v>
      </c>
      <c r="BX144" s="175">
        <v>12000</v>
      </c>
      <c r="BY144" s="175">
        <v>12000</v>
      </c>
      <c r="BZ144" s="243">
        <f t="shared" ca="1" si="190"/>
        <v>55.836427350427357</v>
      </c>
      <c r="CA144" s="173">
        <f t="shared" ca="1" si="209"/>
        <v>9.3060712250712267</v>
      </c>
      <c r="CB144" s="173">
        <f t="shared" ca="1" si="210"/>
        <v>9.3060712250712267</v>
      </c>
      <c r="CC144" s="173">
        <f t="shared" ca="1" si="211"/>
        <v>12.408094966761634</v>
      </c>
      <c r="CD144" s="173">
        <f t="shared" ca="1" si="212"/>
        <v>12.408094966761634</v>
      </c>
      <c r="CE144" s="173">
        <f t="shared" ca="1" si="213"/>
        <v>12.408094966761634</v>
      </c>
      <c r="CF144" s="241">
        <f t="shared" ca="1" si="191"/>
        <v>41.911114741587554</v>
      </c>
      <c r="CG144" s="167">
        <f t="shared" ca="1" si="192"/>
        <v>6.9851857902645937</v>
      </c>
      <c r="CH144" s="167">
        <f t="shared" ca="1" si="193"/>
        <v>6.9851857902645937</v>
      </c>
      <c r="CI144" s="167">
        <f t="shared" ca="1" si="166"/>
        <v>9.313581053686125</v>
      </c>
      <c r="CJ144" s="167">
        <f t="shared" ca="1" si="184"/>
        <v>9.313581053686125</v>
      </c>
      <c r="CK144" s="167">
        <f t="shared" ca="1" si="214"/>
        <v>9.313581053686125</v>
      </c>
    </row>
    <row r="145" spans="2:89">
      <c r="B145" s="197">
        <v>24</v>
      </c>
      <c r="C145" s="197">
        <v>71.599999999999994</v>
      </c>
      <c r="D145" s="197"/>
      <c r="E145" s="198" t="s">
        <v>17</v>
      </c>
      <c r="F145" s="199">
        <v>3.14</v>
      </c>
      <c r="G145" s="201">
        <v>3.42</v>
      </c>
      <c r="H145" s="201">
        <v>3.46</v>
      </c>
      <c r="I145" s="201">
        <v>3.7</v>
      </c>
      <c r="J145" s="201">
        <v>3.83</v>
      </c>
      <c r="K145" s="201">
        <v>2.85</v>
      </c>
      <c r="L145" s="201">
        <v>2.99</v>
      </c>
      <c r="M145" s="201">
        <v>3.08</v>
      </c>
      <c r="N145" s="201">
        <v>2.84</v>
      </c>
      <c r="O145" s="201">
        <v>3.01</v>
      </c>
      <c r="P145" s="201">
        <v>3.07</v>
      </c>
      <c r="Q145" s="201">
        <v>3.2</v>
      </c>
      <c r="R145" s="238"/>
      <c r="S145" s="238"/>
      <c r="T145" s="238"/>
      <c r="U145" s="244"/>
      <c r="V145" s="238"/>
      <c r="W145" s="238"/>
      <c r="X145" s="238"/>
      <c r="Y145" s="238"/>
      <c r="AC145" s="164" t="s">
        <v>136</v>
      </c>
      <c r="AD145" s="164">
        <v>48</v>
      </c>
      <c r="AE145" s="165">
        <v>9</v>
      </c>
      <c r="AF145" s="165">
        <v>9</v>
      </c>
      <c r="AG145" s="165">
        <v>12</v>
      </c>
      <c r="AH145" s="165">
        <v>12</v>
      </c>
      <c r="AI145" s="165">
        <v>18</v>
      </c>
      <c r="AJ145" s="501"/>
      <c r="AK145" s="241">
        <f t="shared" ca="1" si="185"/>
        <v>51.604444444444425</v>
      </c>
      <c r="AL145" s="167">
        <f t="shared" ca="1" si="194"/>
        <v>7.7406666666666641</v>
      </c>
      <c r="AM145" s="167">
        <f t="shared" ca="1" si="195"/>
        <v>7.7406666666666641</v>
      </c>
      <c r="AN145" s="167">
        <f t="shared" ca="1" si="196"/>
        <v>10.320888888888884</v>
      </c>
      <c r="AO145" s="167">
        <f t="shared" ca="1" si="197"/>
        <v>10.320888888888884</v>
      </c>
      <c r="AP145" s="167">
        <f t="shared" ca="1" si="198"/>
        <v>15.481333333333328</v>
      </c>
      <c r="AQ145" s="242">
        <f t="shared" ca="1" si="186"/>
        <v>66.905111111111111</v>
      </c>
      <c r="AR145" s="170">
        <f ca="1">INDEX('Cap based on indoor unit SZ'!$J$6:$J$21,MATCH(AE145,'Cap based on indoor unit SZ'!$I$6:$I$21))</f>
        <v>10.463111111111111</v>
      </c>
      <c r="AS145" s="170">
        <f ca="1">INDEX('Cap based on indoor unit SZ'!$J$6:$J$21,MATCH(AF145,'Cap based on indoor unit SZ'!$I$6:$I$21))</f>
        <v>10.463111111111111</v>
      </c>
      <c r="AT145" s="170">
        <f ca="1">INDEX('Cap based on indoor unit SZ'!$J$6:$J$21,MATCH(AG145,'Cap based on indoor unit SZ'!$I$6:$I$21))</f>
        <v>13.078888888888891</v>
      </c>
      <c r="AU145" s="170">
        <f ca="1">INDEX('Cap based on indoor unit SZ'!$J$6:$J$21,MATCH(AH145,'Cap based on indoor unit SZ'!$I$6:$I$21))</f>
        <v>13.078888888888891</v>
      </c>
      <c r="AV145" s="170">
        <f ca="1">INDEX('Cap based on indoor unit SZ'!$J$6:$J$21,MATCH(AI145,'Cap based on indoor unit SZ'!$I$6:$I$21))</f>
        <v>19.821111111111112</v>
      </c>
      <c r="AW145" s="242">
        <f t="shared" si="140"/>
        <v>52</v>
      </c>
      <c r="AX145" s="170">
        <v>8.5</v>
      </c>
      <c r="AY145" s="170">
        <v>8.5</v>
      </c>
      <c r="AZ145" s="170">
        <v>10</v>
      </c>
      <c r="BA145" s="170">
        <v>10</v>
      </c>
      <c r="BB145" s="170">
        <v>15</v>
      </c>
      <c r="BC145" s="243">
        <f t="shared" ca="1" si="187"/>
        <v>51.604444444444425</v>
      </c>
      <c r="BD145" s="173">
        <f t="shared" ca="1" si="199"/>
        <v>7.7406666666666641</v>
      </c>
      <c r="BE145" s="173">
        <f t="shared" ca="1" si="200"/>
        <v>7.7406666666666641</v>
      </c>
      <c r="BF145" s="173">
        <f t="shared" ca="1" si="201"/>
        <v>10.320888888888884</v>
      </c>
      <c r="BG145" s="173">
        <f t="shared" ca="1" si="202"/>
        <v>10.320888888888884</v>
      </c>
      <c r="BH145" s="173">
        <f t="shared" ca="1" si="203"/>
        <v>15.481333333333328</v>
      </c>
      <c r="BI145" s="241">
        <f t="shared" ca="1" si="188"/>
        <v>55.836427350427357</v>
      </c>
      <c r="BJ145" s="167">
        <f t="shared" ca="1" si="204"/>
        <v>8.3754641025641039</v>
      </c>
      <c r="BK145" s="167">
        <f t="shared" ca="1" si="205"/>
        <v>8.3754641025641039</v>
      </c>
      <c r="BL145" s="167">
        <f t="shared" ca="1" si="206"/>
        <v>11.167285470085471</v>
      </c>
      <c r="BM145" s="167">
        <f t="shared" ca="1" si="207"/>
        <v>11.167285470085471</v>
      </c>
      <c r="BN145" s="167">
        <f t="shared" ca="1" si="208"/>
        <v>16.750928205128208</v>
      </c>
      <c r="BO145" s="242">
        <f t="shared" ca="1" si="189"/>
        <v>78.400912820512815</v>
      </c>
      <c r="BP145" s="170">
        <f ca="1">INDEX('Cap based on indoor unit SZ'!$V$43:$V$58,MATCH(AE145,'Cap based on indoor unit SZ'!$U$43:$U$58))</f>
        <v>11.956020512820512</v>
      </c>
      <c r="BQ145" s="170">
        <f ca="1">INDEX('Cap based on indoor unit SZ'!$V$43:$V$58,MATCH(AF145,'Cap based on indoor unit SZ'!$U$43:$U$58))</f>
        <v>11.956020512820512</v>
      </c>
      <c r="BR145" s="170">
        <f ca="1">INDEX('Cap based on indoor unit SZ'!$V$43:$V$58,MATCH(AG145,'Cap based on indoor unit SZ'!$U$43:$U$58))</f>
        <v>14.945025641025641</v>
      </c>
      <c r="BS145" s="170">
        <f ca="1">INDEX('Cap based on indoor unit SZ'!$V$43:$V$58,MATCH(AH145,'Cap based on indoor unit SZ'!$U$43:$U$58))</f>
        <v>14.945025641025641</v>
      </c>
      <c r="BT145" s="170">
        <f ca="1">INDEX('Cap based on indoor unit SZ'!$V$43:$V$58,MATCH(AI145,'Cap based on indoor unit SZ'!$U$43:$U$58))</f>
        <v>24.598820512820513</v>
      </c>
      <c r="BU145" s="175">
        <v>8500</v>
      </c>
      <c r="BV145" s="175">
        <v>8500</v>
      </c>
      <c r="BW145" s="175">
        <v>11000</v>
      </c>
      <c r="BX145" s="175">
        <v>11000</v>
      </c>
      <c r="BY145" s="175">
        <v>16000</v>
      </c>
      <c r="BZ145" s="243">
        <f t="shared" ca="1" si="190"/>
        <v>55.836427350427357</v>
      </c>
      <c r="CA145" s="173">
        <f t="shared" ca="1" si="209"/>
        <v>8.3754641025641039</v>
      </c>
      <c r="CB145" s="173">
        <f t="shared" ca="1" si="210"/>
        <v>8.3754641025641039</v>
      </c>
      <c r="CC145" s="173">
        <f t="shared" ca="1" si="211"/>
        <v>11.167285470085471</v>
      </c>
      <c r="CD145" s="173">
        <f t="shared" ca="1" si="212"/>
        <v>11.167285470085471</v>
      </c>
      <c r="CE145" s="173">
        <f t="shared" ca="1" si="213"/>
        <v>16.750928205128208</v>
      </c>
      <c r="CF145" s="241">
        <f t="shared" ca="1" si="191"/>
        <v>41.911114741587568</v>
      </c>
      <c r="CG145" s="167">
        <f t="shared" ca="1" si="192"/>
        <v>6.286667211238135</v>
      </c>
      <c r="CH145" s="167">
        <f t="shared" ca="1" si="193"/>
        <v>6.286667211238135</v>
      </c>
      <c r="CI145" s="167">
        <f t="shared" ca="1" si="166"/>
        <v>8.3822229483175121</v>
      </c>
      <c r="CJ145" s="167">
        <f t="shared" ca="1" si="184"/>
        <v>8.3822229483175121</v>
      </c>
      <c r="CK145" s="167">
        <f t="shared" ca="1" si="214"/>
        <v>12.57333442247627</v>
      </c>
    </row>
    <row r="146" spans="2:89">
      <c r="B146" s="197">
        <v>30</v>
      </c>
      <c r="C146" s="197">
        <v>59</v>
      </c>
      <c r="D146" s="197"/>
      <c r="E146" s="198" t="s">
        <v>17</v>
      </c>
      <c r="F146" s="199">
        <v>3.39</v>
      </c>
      <c r="G146" s="201">
        <v>3.46</v>
      </c>
      <c r="H146" s="201">
        <v>3.45</v>
      </c>
      <c r="I146" s="201">
        <v>3.62</v>
      </c>
      <c r="J146" s="201">
        <v>3.74</v>
      </c>
      <c r="K146" s="201">
        <v>3.71</v>
      </c>
      <c r="L146" s="201">
        <v>3.73</v>
      </c>
      <c r="M146" s="201">
        <v>3.79</v>
      </c>
      <c r="N146" s="201">
        <v>3.08</v>
      </c>
      <c r="O146" s="201">
        <v>3.12</v>
      </c>
      <c r="P146" s="201">
        <v>3.27</v>
      </c>
      <c r="Q146" s="201">
        <v>3.37</v>
      </c>
      <c r="R146" s="238"/>
      <c r="S146" s="238"/>
      <c r="T146" s="238"/>
      <c r="U146" s="244"/>
      <c r="V146" s="238"/>
      <c r="W146" s="238"/>
      <c r="X146" s="238"/>
      <c r="Y146" s="238"/>
      <c r="AC146" s="164" t="s">
        <v>135</v>
      </c>
      <c r="AD146" s="164">
        <v>48</v>
      </c>
      <c r="AE146" s="165">
        <v>9</v>
      </c>
      <c r="AF146" s="165">
        <v>12</v>
      </c>
      <c r="AG146" s="165">
        <v>12</v>
      </c>
      <c r="AH146" s="165">
        <v>12</v>
      </c>
      <c r="AI146" s="165">
        <v>12</v>
      </c>
      <c r="AJ146" s="501"/>
      <c r="AK146" s="241">
        <f t="shared" ca="1" si="185"/>
        <v>51.604444444444432</v>
      </c>
      <c r="AL146" s="167">
        <f t="shared" ca="1" si="194"/>
        <v>8.1480701754385958</v>
      </c>
      <c r="AM146" s="167">
        <f t="shared" ca="1" si="195"/>
        <v>10.86409356725146</v>
      </c>
      <c r="AN146" s="167">
        <f t="shared" ca="1" si="196"/>
        <v>10.86409356725146</v>
      </c>
      <c r="AO146" s="167">
        <f t="shared" ca="1" si="197"/>
        <v>10.86409356725146</v>
      </c>
      <c r="AP146" s="167">
        <f t="shared" ca="1" si="198"/>
        <v>10.86409356725146</v>
      </c>
      <c r="AQ146" s="242">
        <f t="shared" ca="1" si="186"/>
        <v>62.778666666666673</v>
      </c>
      <c r="AR146" s="170">
        <f ca="1">INDEX('Cap based on indoor unit SZ'!$J$6:$J$21,MATCH(AE146,'Cap based on indoor unit SZ'!$I$6:$I$21))</f>
        <v>10.463111111111111</v>
      </c>
      <c r="AS146" s="170">
        <f ca="1">INDEX('Cap based on indoor unit SZ'!$J$6:$J$21,MATCH(AF146,'Cap based on indoor unit SZ'!$I$6:$I$21))</f>
        <v>13.078888888888891</v>
      </c>
      <c r="AT146" s="170">
        <f ca="1">INDEX('Cap based on indoor unit SZ'!$J$6:$J$21,MATCH(AG146,'Cap based on indoor unit SZ'!$I$6:$I$21))</f>
        <v>13.078888888888891</v>
      </c>
      <c r="AU146" s="170">
        <f ca="1">INDEX('Cap based on indoor unit SZ'!$J$6:$J$21,MATCH(AH146,'Cap based on indoor unit SZ'!$I$6:$I$21))</f>
        <v>13.078888888888891</v>
      </c>
      <c r="AV146" s="170">
        <f ca="1">INDEX('Cap based on indoor unit SZ'!$J$6:$J$21,MATCH(AI146,'Cap based on indoor unit SZ'!$I$6:$I$21))</f>
        <v>13.078888888888891</v>
      </c>
      <c r="AW146" s="242">
        <f t="shared" si="140"/>
        <v>50</v>
      </c>
      <c r="AX146" s="170">
        <v>8</v>
      </c>
      <c r="AY146" s="170">
        <v>10.5</v>
      </c>
      <c r="AZ146" s="170">
        <v>10.5</v>
      </c>
      <c r="BA146" s="170">
        <v>10.5</v>
      </c>
      <c r="BB146" s="170">
        <v>10.5</v>
      </c>
      <c r="BC146" s="243">
        <f t="shared" ca="1" si="187"/>
        <v>51.604444444444432</v>
      </c>
      <c r="BD146" s="173">
        <f t="shared" ca="1" si="199"/>
        <v>8.1480701754385958</v>
      </c>
      <c r="BE146" s="173">
        <f t="shared" ca="1" si="200"/>
        <v>10.86409356725146</v>
      </c>
      <c r="BF146" s="173">
        <f t="shared" ca="1" si="201"/>
        <v>10.86409356725146</v>
      </c>
      <c r="BG146" s="173">
        <f t="shared" ca="1" si="202"/>
        <v>10.86409356725146</v>
      </c>
      <c r="BH146" s="173">
        <f t="shared" ca="1" si="203"/>
        <v>10.86409356725146</v>
      </c>
      <c r="BI146" s="241">
        <f t="shared" ca="1" si="188"/>
        <v>55.836427350427364</v>
      </c>
      <c r="BJ146" s="167">
        <f t="shared" ca="1" si="204"/>
        <v>8.8162780026990575</v>
      </c>
      <c r="BK146" s="167">
        <f t="shared" ca="1" si="205"/>
        <v>11.755037336932077</v>
      </c>
      <c r="BL146" s="167">
        <f t="shared" ca="1" si="206"/>
        <v>11.755037336932077</v>
      </c>
      <c r="BM146" s="167">
        <f t="shared" ca="1" si="207"/>
        <v>11.755037336932077</v>
      </c>
      <c r="BN146" s="167">
        <f t="shared" ca="1" si="208"/>
        <v>11.755037336932077</v>
      </c>
      <c r="BO146" s="242">
        <f t="shared" ca="1" si="189"/>
        <v>71.736123076923064</v>
      </c>
      <c r="BP146" s="170">
        <f ca="1">INDEX('Cap based on indoor unit SZ'!$V$43:$V$58,MATCH(AE146,'Cap based on indoor unit SZ'!$U$43:$U$58))</f>
        <v>11.956020512820512</v>
      </c>
      <c r="BQ146" s="170">
        <f ca="1">INDEX('Cap based on indoor unit SZ'!$V$43:$V$58,MATCH(AF146,'Cap based on indoor unit SZ'!$U$43:$U$58))</f>
        <v>14.945025641025641</v>
      </c>
      <c r="BR146" s="170">
        <f ca="1">INDEX('Cap based on indoor unit SZ'!$V$43:$V$58,MATCH(AG146,'Cap based on indoor unit SZ'!$U$43:$U$58))</f>
        <v>14.945025641025641</v>
      </c>
      <c r="BS146" s="170">
        <f ca="1">INDEX('Cap based on indoor unit SZ'!$V$43:$V$58,MATCH(AH146,'Cap based on indoor unit SZ'!$U$43:$U$58))</f>
        <v>14.945025641025641</v>
      </c>
      <c r="BT146" s="170">
        <f ca="1">INDEX('Cap based on indoor unit SZ'!$V$43:$V$58,MATCH(AI146,'Cap based on indoor unit SZ'!$U$43:$U$58))</f>
        <v>14.945025641025641</v>
      </c>
      <c r="BU146" s="175">
        <v>8500</v>
      </c>
      <c r="BV146" s="175">
        <v>11000</v>
      </c>
      <c r="BW146" s="175">
        <v>11000</v>
      </c>
      <c r="BX146" s="175">
        <v>11000</v>
      </c>
      <c r="BY146" s="175">
        <v>11000</v>
      </c>
      <c r="BZ146" s="243">
        <f t="shared" ca="1" si="190"/>
        <v>55.836427350427364</v>
      </c>
      <c r="CA146" s="173">
        <f t="shared" ca="1" si="209"/>
        <v>8.8162780026990575</v>
      </c>
      <c r="CB146" s="173">
        <f t="shared" ca="1" si="210"/>
        <v>11.755037336932077</v>
      </c>
      <c r="CC146" s="173">
        <f t="shared" ca="1" si="211"/>
        <v>11.755037336932077</v>
      </c>
      <c r="CD146" s="173">
        <f t="shared" ca="1" si="212"/>
        <v>11.755037336932077</v>
      </c>
      <c r="CE146" s="173">
        <f t="shared" ca="1" si="213"/>
        <v>11.755037336932077</v>
      </c>
      <c r="CF146" s="241">
        <f t="shared" ca="1" si="191"/>
        <v>41.911114741587582</v>
      </c>
      <c r="CG146" s="167">
        <f t="shared" ca="1" si="192"/>
        <v>6.6175444328822488</v>
      </c>
      <c r="CH146" s="167">
        <f t="shared" ca="1" si="193"/>
        <v>8.8233925771763317</v>
      </c>
      <c r="CI146" s="167">
        <f t="shared" ca="1" si="166"/>
        <v>8.8233925771763317</v>
      </c>
      <c r="CJ146" s="167">
        <f t="shared" ca="1" si="184"/>
        <v>8.8233925771763317</v>
      </c>
      <c r="CK146" s="167">
        <f t="shared" ca="1" si="214"/>
        <v>8.8233925771763317</v>
      </c>
    </row>
    <row r="147" spans="2:89">
      <c r="B147" s="197">
        <v>30</v>
      </c>
      <c r="C147" s="197">
        <v>64.400000000000006</v>
      </c>
      <c r="D147" s="197"/>
      <c r="E147" s="198" t="s">
        <v>17</v>
      </c>
      <c r="F147" s="199">
        <v>3.42</v>
      </c>
      <c r="G147" s="201">
        <v>3.49</v>
      </c>
      <c r="H147" s="201">
        <v>3.53</v>
      </c>
      <c r="I147" s="201">
        <v>3.75</v>
      </c>
      <c r="J147" s="201">
        <v>3.86</v>
      </c>
      <c r="K147" s="201">
        <v>3.84</v>
      </c>
      <c r="L147" s="201">
        <v>3.86</v>
      </c>
      <c r="M147" s="201">
        <v>3.92</v>
      </c>
      <c r="N147" s="201">
        <v>3.11</v>
      </c>
      <c r="O147" s="201">
        <v>3.15</v>
      </c>
      <c r="P147" s="201">
        <v>3.3</v>
      </c>
      <c r="Q147" s="201">
        <v>3.4</v>
      </c>
      <c r="R147" s="239"/>
      <c r="S147" s="239"/>
      <c r="T147" s="239"/>
      <c r="U147" s="245"/>
      <c r="V147" s="239"/>
      <c r="W147" s="239"/>
      <c r="X147" s="239"/>
      <c r="Y147" s="239"/>
      <c r="AC147" s="164" t="s">
        <v>134</v>
      </c>
      <c r="AD147" s="164">
        <v>48</v>
      </c>
      <c r="AE147" s="165">
        <v>9</v>
      </c>
      <c r="AF147" s="165">
        <v>12</v>
      </c>
      <c r="AG147" s="165">
        <v>12</v>
      </c>
      <c r="AH147" s="165">
        <v>12</v>
      </c>
      <c r="AI147" s="165">
        <v>18</v>
      </c>
      <c r="AJ147" s="501"/>
      <c r="AK147" s="241">
        <f t="shared" ca="1" si="185"/>
        <v>51.604444444444425</v>
      </c>
      <c r="AL147" s="167">
        <f t="shared" ca="1" si="194"/>
        <v>7.3720634920634902</v>
      </c>
      <c r="AM147" s="167">
        <f t="shared" ca="1" si="195"/>
        <v>9.8294179894179869</v>
      </c>
      <c r="AN147" s="167">
        <f t="shared" ca="1" si="196"/>
        <v>9.8294179894179869</v>
      </c>
      <c r="AO147" s="167">
        <f t="shared" ca="1" si="197"/>
        <v>9.8294179894179869</v>
      </c>
      <c r="AP147" s="167">
        <f t="shared" ca="1" si="198"/>
        <v>14.74412698412698</v>
      </c>
      <c r="AQ147" s="242">
        <f t="shared" ca="1" si="186"/>
        <v>69.520888888888891</v>
      </c>
      <c r="AR147" s="170">
        <f ca="1">INDEX('Cap based on indoor unit SZ'!$J$6:$J$21,MATCH(AE147,'Cap based on indoor unit SZ'!$I$6:$I$21))</f>
        <v>10.463111111111111</v>
      </c>
      <c r="AS147" s="170">
        <f ca="1">INDEX('Cap based on indoor unit SZ'!$J$6:$J$21,MATCH(AF147,'Cap based on indoor unit SZ'!$I$6:$I$21))</f>
        <v>13.078888888888891</v>
      </c>
      <c r="AT147" s="170">
        <f ca="1">INDEX('Cap based on indoor unit SZ'!$J$6:$J$21,MATCH(AG147,'Cap based on indoor unit SZ'!$I$6:$I$21))</f>
        <v>13.078888888888891</v>
      </c>
      <c r="AU147" s="170">
        <f ca="1">INDEX('Cap based on indoor unit SZ'!$J$6:$J$21,MATCH(AH147,'Cap based on indoor unit SZ'!$I$6:$I$21))</f>
        <v>13.078888888888891</v>
      </c>
      <c r="AV147" s="170">
        <f ca="1">INDEX('Cap based on indoor unit SZ'!$J$6:$J$21,MATCH(AI147,'Cap based on indoor unit SZ'!$I$6:$I$21))</f>
        <v>19.821111111111112</v>
      </c>
      <c r="AW147" s="242">
        <f t="shared" si="140"/>
        <v>52.5</v>
      </c>
      <c r="AX147" s="170">
        <v>7.5</v>
      </c>
      <c r="AY147" s="170">
        <v>10</v>
      </c>
      <c r="AZ147" s="170">
        <v>10</v>
      </c>
      <c r="BA147" s="170">
        <v>10</v>
      </c>
      <c r="BB147" s="170">
        <v>15</v>
      </c>
      <c r="BC147" s="243">
        <f t="shared" ca="1" si="187"/>
        <v>51.604444444444425</v>
      </c>
      <c r="BD147" s="173">
        <f t="shared" ca="1" si="199"/>
        <v>7.3720634920634902</v>
      </c>
      <c r="BE147" s="173">
        <f t="shared" ca="1" si="200"/>
        <v>9.8294179894179869</v>
      </c>
      <c r="BF147" s="173">
        <f t="shared" ca="1" si="201"/>
        <v>9.8294179894179869</v>
      </c>
      <c r="BG147" s="173">
        <f t="shared" ca="1" si="202"/>
        <v>9.8294179894179869</v>
      </c>
      <c r="BH147" s="173">
        <f t="shared" ca="1" si="203"/>
        <v>14.74412698412698</v>
      </c>
      <c r="BI147" s="241">
        <f t="shared" ca="1" si="188"/>
        <v>55.836427350427364</v>
      </c>
      <c r="BJ147" s="167">
        <f t="shared" ca="1" si="204"/>
        <v>7.9766324786324807</v>
      </c>
      <c r="BK147" s="167">
        <f t="shared" ca="1" si="205"/>
        <v>10.635509971509974</v>
      </c>
      <c r="BL147" s="167">
        <f t="shared" ca="1" si="206"/>
        <v>10.635509971509974</v>
      </c>
      <c r="BM147" s="167">
        <f t="shared" ca="1" si="207"/>
        <v>10.635509971509974</v>
      </c>
      <c r="BN147" s="167">
        <f t="shared" ca="1" si="208"/>
        <v>15.953264957264961</v>
      </c>
      <c r="BO147" s="242">
        <f t="shared" ca="1" si="189"/>
        <v>81.389917948717937</v>
      </c>
      <c r="BP147" s="170">
        <f ca="1">INDEX('Cap based on indoor unit SZ'!$V$43:$V$58,MATCH(AE147,'Cap based on indoor unit SZ'!$U$43:$U$58))</f>
        <v>11.956020512820512</v>
      </c>
      <c r="BQ147" s="170">
        <f ca="1">INDEX('Cap based on indoor unit SZ'!$V$43:$V$58,MATCH(AF147,'Cap based on indoor unit SZ'!$U$43:$U$58))</f>
        <v>14.945025641025641</v>
      </c>
      <c r="BR147" s="170">
        <f ca="1">INDEX('Cap based on indoor unit SZ'!$V$43:$V$58,MATCH(AG147,'Cap based on indoor unit SZ'!$U$43:$U$58))</f>
        <v>14.945025641025641</v>
      </c>
      <c r="BS147" s="170">
        <f ca="1">INDEX('Cap based on indoor unit SZ'!$V$43:$V$58,MATCH(AH147,'Cap based on indoor unit SZ'!$U$43:$U$58))</f>
        <v>14.945025641025641</v>
      </c>
      <c r="BT147" s="170">
        <f ca="1">INDEX('Cap based on indoor unit SZ'!$V$43:$V$58,MATCH(AI147,'Cap based on indoor unit SZ'!$U$43:$U$58))</f>
        <v>24.598820512820513</v>
      </c>
      <c r="BU147" s="175">
        <v>8000</v>
      </c>
      <c r="BV147" s="175">
        <v>10500</v>
      </c>
      <c r="BW147" s="175">
        <v>10500</v>
      </c>
      <c r="BX147" s="175">
        <v>10500</v>
      </c>
      <c r="BY147" s="175">
        <v>15500</v>
      </c>
      <c r="BZ147" s="243">
        <f t="shared" ca="1" si="190"/>
        <v>55.836427350427364</v>
      </c>
      <c r="CA147" s="173">
        <f t="shared" ca="1" si="209"/>
        <v>7.9766324786324807</v>
      </c>
      <c r="CB147" s="173">
        <f t="shared" ca="1" si="210"/>
        <v>10.635509971509974</v>
      </c>
      <c r="CC147" s="173">
        <f t="shared" ca="1" si="211"/>
        <v>10.635509971509974</v>
      </c>
      <c r="CD147" s="173">
        <f t="shared" ca="1" si="212"/>
        <v>10.635509971509974</v>
      </c>
      <c r="CE147" s="173">
        <f t="shared" ca="1" si="213"/>
        <v>15.953264957264961</v>
      </c>
      <c r="CF147" s="241">
        <f t="shared" ca="1" si="191"/>
        <v>41.911114741587568</v>
      </c>
      <c r="CG147" s="167">
        <f t="shared" ca="1" si="192"/>
        <v>5.9873021059410814</v>
      </c>
      <c r="CH147" s="167">
        <f t="shared" ca="1" si="193"/>
        <v>7.9830694745881079</v>
      </c>
      <c r="CI147" s="167">
        <f t="shared" ca="1" si="166"/>
        <v>7.9830694745881079</v>
      </c>
      <c r="CJ147" s="167">
        <f t="shared" ca="1" si="184"/>
        <v>7.9830694745881079</v>
      </c>
      <c r="CK147" s="167">
        <f t="shared" ca="1" si="214"/>
        <v>11.974604211882163</v>
      </c>
    </row>
    <row r="148" spans="2:89">
      <c r="B148" s="197">
        <v>30</v>
      </c>
      <c r="C148" s="197">
        <v>69</v>
      </c>
      <c r="D148" s="197"/>
      <c r="E148" s="198" t="s">
        <v>17</v>
      </c>
      <c r="F148" s="199">
        <v>3.51</v>
      </c>
      <c r="G148" s="201">
        <v>3.58</v>
      </c>
      <c r="H148" s="201">
        <v>3.64</v>
      </c>
      <c r="I148" s="201">
        <v>3.76</v>
      </c>
      <c r="J148" s="201">
        <v>4.05</v>
      </c>
      <c r="K148" s="201">
        <v>3.85</v>
      </c>
      <c r="L148" s="201">
        <v>3.9</v>
      </c>
      <c r="M148" s="201">
        <v>4.04</v>
      </c>
      <c r="N148" s="201">
        <v>3.14</v>
      </c>
      <c r="O148" s="201">
        <v>3.18</v>
      </c>
      <c r="P148" s="201">
        <v>3.21</v>
      </c>
      <c r="Q148" s="201">
        <v>3.3</v>
      </c>
      <c r="R148" s="238"/>
      <c r="S148" s="238"/>
      <c r="T148" s="238"/>
      <c r="U148" s="244"/>
      <c r="V148" s="238"/>
      <c r="W148" s="238"/>
      <c r="X148" s="238"/>
      <c r="Y148" s="238"/>
      <c r="AC148" s="164" t="s">
        <v>133</v>
      </c>
      <c r="AD148" s="164">
        <v>48</v>
      </c>
      <c r="AE148" s="165">
        <v>12</v>
      </c>
      <c r="AF148" s="165">
        <v>12</v>
      </c>
      <c r="AG148" s="165">
        <v>12</v>
      </c>
      <c r="AH148" s="165">
        <v>12</v>
      </c>
      <c r="AI148" s="165">
        <v>12</v>
      </c>
      <c r="AJ148" s="501"/>
      <c r="AK148" s="241">
        <f t="shared" ca="1" si="185"/>
        <v>51.604444444444425</v>
      </c>
      <c r="AL148" s="167">
        <f t="shared" ca="1" si="194"/>
        <v>10.320888888888884</v>
      </c>
      <c r="AM148" s="167">
        <f t="shared" ca="1" si="195"/>
        <v>10.320888888888884</v>
      </c>
      <c r="AN148" s="167">
        <f t="shared" ca="1" si="196"/>
        <v>10.320888888888884</v>
      </c>
      <c r="AO148" s="167">
        <f t="shared" ca="1" si="197"/>
        <v>10.320888888888884</v>
      </c>
      <c r="AP148" s="167">
        <f t="shared" ca="1" si="198"/>
        <v>10.320888888888884</v>
      </c>
      <c r="AQ148" s="242">
        <f t="shared" ca="1" si="186"/>
        <v>65.394444444444446</v>
      </c>
      <c r="AR148" s="170">
        <f ca="1">INDEX('Cap based on indoor unit SZ'!$J$6:$J$21,MATCH(AE148,'Cap based on indoor unit SZ'!$I$6:$I$21))</f>
        <v>13.078888888888891</v>
      </c>
      <c r="AS148" s="170">
        <f ca="1">INDEX('Cap based on indoor unit SZ'!$J$6:$J$21,MATCH(AF148,'Cap based on indoor unit SZ'!$I$6:$I$21))</f>
        <v>13.078888888888891</v>
      </c>
      <c r="AT148" s="170">
        <f ca="1">INDEX('Cap based on indoor unit SZ'!$J$6:$J$21,MATCH(AG148,'Cap based on indoor unit SZ'!$I$6:$I$21))</f>
        <v>13.078888888888891</v>
      </c>
      <c r="AU148" s="170">
        <f ca="1">INDEX('Cap based on indoor unit SZ'!$J$6:$J$21,MATCH(AH148,'Cap based on indoor unit SZ'!$I$6:$I$21))</f>
        <v>13.078888888888891</v>
      </c>
      <c r="AV148" s="170">
        <f ca="1">INDEX('Cap based on indoor unit SZ'!$J$6:$J$21,MATCH(AI148,'Cap based on indoor unit SZ'!$I$6:$I$21))</f>
        <v>13.078888888888891</v>
      </c>
      <c r="AW148" s="242">
        <f t="shared" si="140"/>
        <v>52.5</v>
      </c>
      <c r="AX148" s="170">
        <v>10.5</v>
      </c>
      <c r="AY148" s="170">
        <v>10.5</v>
      </c>
      <c r="AZ148" s="170">
        <v>10.5</v>
      </c>
      <c r="BA148" s="170">
        <v>10.5</v>
      </c>
      <c r="BB148" s="170">
        <v>10.5</v>
      </c>
      <c r="BC148" s="243">
        <f t="shared" ca="1" si="187"/>
        <v>51.604444444444425</v>
      </c>
      <c r="BD148" s="173">
        <f t="shared" ca="1" si="199"/>
        <v>10.320888888888884</v>
      </c>
      <c r="BE148" s="173">
        <f t="shared" ca="1" si="200"/>
        <v>10.320888888888884</v>
      </c>
      <c r="BF148" s="173">
        <f t="shared" ca="1" si="201"/>
        <v>10.320888888888884</v>
      </c>
      <c r="BG148" s="173">
        <f t="shared" ca="1" si="202"/>
        <v>10.320888888888884</v>
      </c>
      <c r="BH148" s="173">
        <f t="shared" ca="1" si="203"/>
        <v>10.320888888888884</v>
      </c>
      <c r="BI148" s="241">
        <f t="shared" ca="1" si="188"/>
        <v>55.836427350427357</v>
      </c>
      <c r="BJ148" s="167">
        <f t="shared" ca="1" si="204"/>
        <v>11.167285470085471</v>
      </c>
      <c r="BK148" s="167">
        <f t="shared" ca="1" si="205"/>
        <v>11.167285470085471</v>
      </c>
      <c r="BL148" s="167">
        <f t="shared" ca="1" si="206"/>
        <v>11.167285470085471</v>
      </c>
      <c r="BM148" s="167">
        <f t="shared" ca="1" si="207"/>
        <v>11.167285470085471</v>
      </c>
      <c r="BN148" s="167">
        <f t="shared" ca="1" si="208"/>
        <v>11.167285470085471</v>
      </c>
      <c r="BO148" s="242">
        <f t="shared" ca="1" si="189"/>
        <v>74.7251282051282</v>
      </c>
      <c r="BP148" s="170">
        <f ca="1">INDEX('Cap based on indoor unit SZ'!$V$43:$V$58,MATCH(AE148,'Cap based on indoor unit SZ'!$U$43:$U$58))</f>
        <v>14.945025641025641</v>
      </c>
      <c r="BQ148" s="170">
        <f ca="1">INDEX('Cap based on indoor unit SZ'!$V$43:$V$58,MATCH(AF148,'Cap based on indoor unit SZ'!$U$43:$U$58))</f>
        <v>14.945025641025641</v>
      </c>
      <c r="BR148" s="170">
        <f ca="1">INDEX('Cap based on indoor unit SZ'!$V$43:$V$58,MATCH(AG148,'Cap based on indoor unit SZ'!$U$43:$U$58))</f>
        <v>14.945025641025641</v>
      </c>
      <c r="BS148" s="170">
        <f ca="1">INDEX('Cap based on indoor unit SZ'!$V$43:$V$58,MATCH(AH148,'Cap based on indoor unit SZ'!$U$43:$U$58))</f>
        <v>14.945025641025641</v>
      </c>
      <c r="BT148" s="170">
        <f ca="1">INDEX('Cap based on indoor unit SZ'!$V$43:$V$58,MATCH(AI148,'Cap based on indoor unit SZ'!$U$43:$U$58))</f>
        <v>14.945025641025641</v>
      </c>
      <c r="BU148" s="175">
        <v>11000</v>
      </c>
      <c r="BV148" s="175">
        <v>11000</v>
      </c>
      <c r="BW148" s="175">
        <v>11000</v>
      </c>
      <c r="BX148" s="175">
        <v>11000</v>
      </c>
      <c r="BY148" s="175">
        <v>11000</v>
      </c>
      <c r="BZ148" s="243">
        <f t="shared" ca="1" si="190"/>
        <v>55.836427350427357</v>
      </c>
      <c r="CA148" s="173">
        <f t="shared" ca="1" si="209"/>
        <v>11.167285470085471</v>
      </c>
      <c r="CB148" s="173">
        <f t="shared" ca="1" si="210"/>
        <v>11.167285470085471</v>
      </c>
      <c r="CC148" s="173">
        <f t="shared" ca="1" si="211"/>
        <v>11.167285470085471</v>
      </c>
      <c r="CD148" s="173">
        <f t="shared" ca="1" si="212"/>
        <v>11.167285470085471</v>
      </c>
      <c r="CE148" s="173">
        <f t="shared" ca="1" si="213"/>
        <v>11.167285470085471</v>
      </c>
      <c r="CF148" s="241">
        <f t="shared" ca="1" si="191"/>
        <v>41.911114741587561</v>
      </c>
      <c r="CG148" s="167">
        <f t="shared" ca="1" si="192"/>
        <v>8.3822229483175121</v>
      </c>
      <c r="CH148" s="167">
        <f t="shared" ca="1" si="193"/>
        <v>8.3822229483175121</v>
      </c>
      <c r="CI148" s="167">
        <f t="shared" ca="1" si="166"/>
        <v>8.3822229483175121</v>
      </c>
      <c r="CJ148" s="167">
        <f t="shared" ca="1" si="184"/>
        <v>8.3822229483175121</v>
      </c>
      <c r="CK148" s="167">
        <f t="shared" ca="1" si="214"/>
        <v>8.3822229483175121</v>
      </c>
    </row>
    <row r="149" spans="2:89">
      <c r="B149" s="197">
        <v>30</v>
      </c>
      <c r="C149" s="197">
        <v>71.599999999999994</v>
      </c>
      <c r="D149" s="197"/>
      <c r="E149" s="198" t="s">
        <v>17</v>
      </c>
      <c r="F149" s="199">
        <v>3.64</v>
      </c>
      <c r="G149" s="201">
        <v>3.61</v>
      </c>
      <c r="H149" s="201">
        <v>3.77</v>
      </c>
      <c r="I149" s="201">
        <v>3.79</v>
      </c>
      <c r="J149" s="201">
        <v>3.81</v>
      </c>
      <c r="K149" s="201">
        <v>3.88</v>
      </c>
      <c r="L149" s="201">
        <v>3.93</v>
      </c>
      <c r="M149" s="201">
        <v>4.07</v>
      </c>
      <c r="N149" s="201">
        <v>3.17</v>
      </c>
      <c r="O149" s="201">
        <v>3.21</v>
      </c>
      <c r="P149" s="201">
        <v>3.24</v>
      </c>
      <c r="Q149" s="201">
        <v>3.33</v>
      </c>
      <c r="R149" s="238"/>
      <c r="S149" s="238"/>
      <c r="T149" s="238"/>
      <c r="U149" s="244"/>
      <c r="V149" s="238"/>
      <c r="W149" s="238"/>
      <c r="X149" s="238"/>
      <c r="Y149" s="238"/>
    </row>
    <row r="150" spans="2:89">
      <c r="B150" s="197">
        <v>36</v>
      </c>
      <c r="C150" s="197">
        <v>59</v>
      </c>
      <c r="D150" s="197"/>
      <c r="E150" s="198" t="s">
        <v>17</v>
      </c>
      <c r="F150" s="246">
        <v>4.91</v>
      </c>
      <c r="G150" s="201">
        <v>5.0199999999999996</v>
      </c>
      <c r="H150" s="201">
        <v>5.17</v>
      </c>
      <c r="I150" s="201">
        <v>5.2</v>
      </c>
      <c r="J150" s="201">
        <v>5.24</v>
      </c>
      <c r="K150" s="201">
        <v>5.1100000000000003</v>
      </c>
      <c r="L150" s="201">
        <v>5.13</v>
      </c>
      <c r="M150" s="201">
        <v>5.21</v>
      </c>
      <c r="N150" s="201">
        <v>4.5599999999999996</v>
      </c>
      <c r="O150" s="201">
        <v>4.7300000000000004</v>
      </c>
      <c r="P150" s="201">
        <v>4.9000000000000004</v>
      </c>
      <c r="Q150" s="201">
        <v>4.5599999999999996</v>
      </c>
      <c r="R150" s="239"/>
      <c r="S150" s="239"/>
      <c r="T150" s="239"/>
      <c r="U150" s="245"/>
      <c r="V150" s="239"/>
      <c r="W150" s="239"/>
      <c r="X150" s="239"/>
      <c r="Y150" s="239"/>
    </row>
    <row r="151" spans="2:89">
      <c r="B151" s="197">
        <v>36</v>
      </c>
      <c r="C151" s="197">
        <v>64.400000000000006</v>
      </c>
      <c r="D151" s="197"/>
      <c r="E151" s="198" t="s">
        <v>17</v>
      </c>
      <c r="F151" s="246">
        <v>4.97</v>
      </c>
      <c r="G151" s="201">
        <v>5.08</v>
      </c>
      <c r="H151" s="201">
        <v>5.23</v>
      </c>
      <c r="I151" s="201">
        <v>5.26</v>
      </c>
      <c r="J151" s="201">
        <v>5.33</v>
      </c>
      <c r="K151" s="201">
        <v>5.17</v>
      </c>
      <c r="L151" s="201">
        <v>5.19</v>
      </c>
      <c r="M151" s="201">
        <v>5.27</v>
      </c>
      <c r="N151" s="201">
        <v>4.62</v>
      </c>
      <c r="O151" s="201">
        <v>4.79</v>
      </c>
      <c r="P151" s="201">
        <v>4.96</v>
      </c>
      <c r="Q151" s="201">
        <v>4.62</v>
      </c>
      <c r="R151" s="238"/>
      <c r="S151" s="238"/>
      <c r="T151" s="238"/>
      <c r="U151" s="244"/>
      <c r="V151" s="238"/>
      <c r="W151" s="238"/>
      <c r="X151" s="238"/>
      <c r="Y151" s="238"/>
    </row>
    <row r="152" spans="2:89">
      <c r="B152" s="197">
        <v>36</v>
      </c>
      <c r="C152" s="197">
        <v>69</v>
      </c>
      <c r="D152" s="197"/>
      <c r="E152" s="198" t="s">
        <v>17</v>
      </c>
      <c r="F152" s="246">
        <v>5.04</v>
      </c>
      <c r="G152" s="201">
        <v>5.15</v>
      </c>
      <c r="H152" s="201">
        <v>5.24</v>
      </c>
      <c r="I152" s="201">
        <v>5.27</v>
      </c>
      <c r="J152" s="201">
        <v>5.39</v>
      </c>
      <c r="K152" s="201">
        <v>5.25</v>
      </c>
      <c r="L152" s="201">
        <v>5.27</v>
      </c>
      <c r="M152" s="201">
        <v>5.35</v>
      </c>
      <c r="N152" s="201">
        <v>4.62</v>
      </c>
      <c r="O152" s="201">
        <v>4.96</v>
      </c>
      <c r="P152" s="201">
        <v>4.66</v>
      </c>
      <c r="Q152" s="201">
        <v>4.3</v>
      </c>
      <c r="R152" s="238"/>
      <c r="S152" s="238"/>
      <c r="T152" s="238"/>
      <c r="U152" s="244"/>
      <c r="V152" s="238"/>
      <c r="W152" s="238"/>
      <c r="X152" s="238"/>
      <c r="Y152" s="238"/>
    </row>
    <row r="153" spans="2:89">
      <c r="B153" s="197">
        <v>36</v>
      </c>
      <c r="C153" s="197">
        <v>71.599999999999994</v>
      </c>
      <c r="D153" s="197"/>
      <c r="E153" s="198" t="s">
        <v>17</v>
      </c>
      <c r="F153" s="246">
        <v>5.09</v>
      </c>
      <c r="G153" s="201">
        <v>5.2</v>
      </c>
      <c r="H153" s="201">
        <v>5.29</v>
      </c>
      <c r="I153" s="201">
        <v>5.32</v>
      </c>
      <c r="J153" s="201">
        <v>5.34</v>
      </c>
      <c r="K153" s="201">
        <v>5.3</v>
      </c>
      <c r="L153" s="201">
        <v>5.32</v>
      </c>
      <c r="M153" s="201">
        <v>5.4</v>
      </c>
      <c r="N153" s="201">
        <v>4.67</v>
      </c>
      <c r="O153" s="201">
        <v>5.01</v>
      </c>
      <c r="P153" s="201">
        <v>4.71</v>
      </c>
      <c r="Q153" s="201">
        <v>4.3499999999999996</v>
      </c>
      <c r="R153" s="239"/>
      <c r="S153" s="239"/>
      <c r="T153" s="239"/>
      <c r="U153" s="245"/>
      <c r="V153" s="239"/>
      <c r="W153" s="239"/>
      <c r="X153" s="239"/>
      <c r="Y153" s="239"/>
    </row>
    <row r="154" spans="2:89">
      <c r="B154" s="197">
        <v>48</v>
      </c>
      <c r="C154" s="197">
        <v>59</v>
      </c>
      <c r="D154" s="197"/>
      <c r="E154" s="198" t="s">
        <v>17</v>
      </c>
      <c r="F154" s="246">
        <v>4.96</v>
      </c>
      <c r="G154" s="201">
        <v>5.07</v>
      </c>
      <c r="H154" s="201">
        <v>5.22</v>
      </c>
      <c r="I154" s="201">
        <v>5.25</v>
      </c>
      <c r="J154" s="201">
        <v>5.33</v>
      </c>
      <c r="K154" s="201">
        <v>5.16</v>
      </c>
      <c r="L154" s="201">
        <v>5.18</v>
      </c>
      <c r="M154" s="201">
        <v>5.26</v>
      </c>
      <c r="N154" s="201">
        <v>4.6100000000000003</v>
      </c>
      <c r="O154" s="201">
        <v>4.78</v>
      </c>
      <c r="P154" s="201">
        <v>4.95</v>
      </c>
      <c r="Q154" s="201">
        <v>4.6100000000000003</v>
      </c>
      <c r="R154" s="238"/>
      <c r="S154" s="238"/>
      <c r="T154" s="238"/>
      <c r="U154" s="244"/>
      <c r="V154" s="238"/>
      <c r="W154" s="238"/>
      <c r="X154" s="238"/>
      <c r="Y154" s="238"/>
    </row>
    <row r="155" spans="2:89">
      <c r="B155" s="197">
        <v>48</v>
      </c>
      <c r="C155" s="197">
        <v>64.400000000000006</v>
      </c>
      <c r="D155" s="197"/>
      <c r="E155" s="198" t="s">
        <v>17</v>
      </c>
      <c r="F155" s="246">
        <v>5.07</v>
      </c>
      <c r="G155" s="201">
        <v>5.18</v>
      </c>
      <c r="H155" s="201">
        <v>5.33</v>
      </c>
      <c r="I155" s="201">
        <v>5.37</v>
      </c>
      <c r="J155" s="201">
        <v>5.51</v>
      </c>
      <c r="K155" s="201">
        <v>5.27</v>
      </c>
      <c r="L155" s="201">
        <v>5.29</v>
      </c>
      <c r="M155" s="201">
        <v>5.38</v>
      </c>
      <c r="N155" s="201">
        <v>4.71</v>
      </c>
      <c r="O155" s="201">
        <v>4.8899999999999997</v>
      </c>
      <c r="P155" s="201">
        <v>5.0599999999999996</v>
      </c>
      <c r="Q155" s="201">
        <v>4.71</v>
      </c>
      <c r="R155" s="238"/>
      <c r="S155" s="238"/>
      <c r="T155" s="238"/>
      <c r="U155" s="244"/>
      <c r="V155" s="238"/>
      <c r="W155" s="238"/>
      <c r="X155" s="238"/>
      <c r="Y155" s="238"/>
    </row>
    <row r="156" spans="2:89">
      <c r="B156" s="197">
        <v>48</v>
      </c>
      <c r="C156" s="197">
        <v>69</v>
      </c>
      <c r="D156" s="197"/>
      <c r="E156" s="198" t="s">
        <v>17</v>
      </c>
      <c r="F156" s="246">
        <v>5.0999999999999996</v>
      </c>
      <c r="G156" s="201">
        <v>5.21</v>
      </c>
      <c r="H156" s="201">
        <v>5.3</v>
      </c>
      <c r="I156" s="201">
        <v>5.33</v>
      </c>
      <c r="J156" s="201">
        <v>5.39</v>
      </c>
      <c r="K156" s="201">
        <v>5.31</v>
      </c>
      <c r="L156" s="201">
        <v>5.33</v>
      </c>
      <c r="M156" s="201">
        <v>5.41</v>
      </c>
      <c r="N156" s="201">
        <v>4.68</v>
      </c>
      <c r="O156" s="201">
        <v>4.63</v>
      </c>
      <c r="P156" s="201">
        <v>4.71</v>
      </c>
      <c r="Q156" s="201">
        <v>5.04</v>
      </c>
      <c r="R156" s="239"/>
      <c r="S156" s="239"/>
      <c r="T156" s="239"/>
      <c r="U156" s="245"/>
      <c r="V156" s="239"/>
      <c r="W156" s="239"/>
      <c r="X156" s="239"/>
      <c r="Y156" s="239"/>
    </row>
    <row r="157" spans="2:89">
      <c r="B157" s="197">
        <v>48</v>
      </c>
      <c r="C157" s="197">
        <v>71.599999999999994</v>
      </c>
      <c r="D157" s="197"/>
      <c r="E157" s="198" t="s">
        <v>17</v>
      </c>
      <c r="F157" s="246">
        <v>5.15</v>
      </c>
      <c r="G157" s="201">
        <v>5.26</v>
      </c>
      <c r="H157" s="201">
        <v>5.35</v>
      </c>
      <c r="I157" s="201">
        <v>5.38</v>
      </c>
      <c r="J157" s="201">
        <v>5.4</v>
      </c>
      <c r="K157" s="201">
        <v>5.36</v>
      </c>
      <c r="L157" s="201">
        <v>5.38</v>
      </c>
      <c r="M157" s="201">
        <v>5.46</v>
      </c>
      <c r="N157" s="201">
        <v>4.7300000000000004</v>
      </c>
      <c r="O157" s="201">
        <v>5.07</v>
      </c>
      <c r="P157" s="201">
        <v>4.76</v>
      </c>
      <c r="Q157" s="201">
        <v>5.09</v>
      </c>
      <c r="R157" s="238"/>
      <c r="S157" s="238"/>
      <c r="T157" s="238"/>
      <c r="U157" s="244"/>
      <c r="V157" s="238"/>
      <c r="W157" s="238"/>
      <c r="X157" s="238"/>
      <c r="Y157" s="238"/>
    </row>
    <row r="158" spans="2:89">
      <c r="B158" s="197">
        <v>18</v>
      </c>
      <c r="C158" s="197">
        <v>59</v>
      </c>
      <c r="D158" s="197"/>
      <c r="E158" s="198" t="s">
        <v>26</v>
      </c>
      <c r="F158" s="199">
        <v>1.36</v>
      </c>
      <c r="G158" s="247">
        <v>1.64</v>
      </c>
      <c r="H158" s="247">
        <v>1.93</v>
      </c>
      <c r="I158" s="247">
        <v>2.04</v>
      </c>
      <c r="J158" s="247">
        <v>2.19</v>
      </c>
      <c r="K158" s="247">
        <v>2.92</v>
      </c>
      <c r="L158" s="247">
        <v>2.92</v>
      </c>
      <c r="M158" s="247">
        <v>3</v>
      </c>
      <c r="N158" s="247">
        <v>3.8</v>
      </c>
      <c r="O158" s="247">
        <v>3.83</v>
      </c>
      <c r="P158" s="247">
        <v>4.21</v>
      </c>
      <c r="Q158" s="247">
        <v>4.28</v>
      </c>
      <c r="R158" s="238"/>
      <c r="S158" s="238"/>
      <c r="T158" s="238"/>
      <c r="U158" s="244"/>
      <c r="V158" s="238"/>
      <c r="W158" s="238"/>
      <c r="X158" s="238"/>
      <c r="Y158" s="238"/>
    </row>
    <row r="159" spans="2:89">
      <c r="B159" s="197">
        <v>18</v>
      </c>
      <c r="C159" s="197">
        <v>64.400000000000006</v>
      </c>
      <c r="D159" s="197"/>
      <c r="E159" s="198" t="s">
        <v>26</v>
      </c>
      <c r="F159" s="199">
        <v>1.31</v>
      </c>
      <c r="G159" s="247">
        <v>1.58</v>
      </c>
      <c r="H159" s="247">
        <v>1.87</v>
      </c>
      <c r="I159" s="247">
        <v>1.98</v>
      </c>
      <c r="J159" s="247">
        <v>2.16</v>
      </c>
      <c r="K159" s="247">
        <v>2.83</v>
      </c>
      <c r="L159" s="247">
        <v>2.84</v>
      </c>
      <c r="M159" s="247">
        <v>2.91</v>
      </c>
      <c r="N159" s="247">
        <v>3.67</v>
      </c>
      <c r="O159" s="247">
        <v>3.7</v>
      </c>
      <c r="P159" s="247">
        <v>4.0999999999999996</v>
      </c>
      <c r="Q159" s="247">
        <v>4.16</v>
      </c>
      <c r="R159" s="239"/>
      <c r="S159" s="239"/>
      <c r="T159" s="239"/>
      <c r="U159" s="245"/>
      <c r="V159" s="239"/>
      <c r="W159" s="239"/>
      <c r="X159" s="239"/>
      <c r="Y159" s="239"/>
    </row>
    <row r="160" spans="2:89">
      <c r="B160" s="197">
        <v>18</v>
      </c>
      <c r="C160" s="197">
        <v>69</v>
      </c>
      <c r="D160" s="197"/>
      <c r="E160" s="198" t="s">
        <v>26</v>
      </c>
      <c r="F160" s="199">
        <v>1.1499999999999999</v>
      </c>
      <c r="G160" s="247">
        <v>1.33</v>
      </c>
      <c r="H160" s="247">
        <v>1.54</v>
      </c>
      <c r="I160" s="247">
        <v>1.62</v>
      </c>
      <c r="J160" s="247">
        <v>2.15</v>
      </c>
      <c r="K160" s="247">
        <v>2.7</v>
      </c>
      <c r="L160" s="247">
        <v>2.78</v>
      </c>
      <c r="M160" s="247">
        <v>2.85</v>
      </c>
      <c r="N160" s="247">
        <v>3.08</v>
      </c>
      <c r="O160" s="247">
        <v>3.05</v>
      </c>
      <c r="P160" s="247">
        <v>3.59</v>
      </c>
      <c r="Q160" s="247">
        <v>3.96</v>
      </c>
      <c r="R160" s="238"/>
      <c r="S160" s="238"/>
      <c r="T160" s="238"/>
      <c r="U160" s="244"/>
      <c r="V160" s="238"/>
      <c r="W160" s="238"/>
      <c r="X160" s="238"/>
      <c r="Y160" s="238"/>
    </row>
    <row r="161" spans="2:25">
      <c r="B161" s="197">
        <v>18</v>
      </c>
      <c r="C161" s="197">
        <v>71.599999999999994</v>
      </c>
      <c r="D161" s="197"/>
      <c r="E161" s="198" t="s">
        <v>26</v>
      </c>
      <c r="F161" s="199">
        <v>1.19</v>
      </c>
      <c r="G161" s="247">
        <v>1.28</v>
      </c>
      <c r="H161" s="247">
        <v>1.49</v>
      </c>
      <c r="I161" s="247">
        <v>1.57</v>
      </c>
      <c r="J161" s="247">
        <v>1.99</v>
      </c>
      <c r="K161" s="247">
        <v>2.61</v>
      </c>
      <c r="L161" s="247">
        <v>2.69</v>
      </c>
      <c r="M161" s="247">
        <v>2.76</v>
      </c>
      <c r="N161" s="247">
        <v>2.99</v>
      </c>
      <c r="O161" s="247">
        <v>2.97</v>
      </c>
      <c r="P161" s="247">
        <v>3.49</v>
      </c>
      <c r="Q161" s="199">
        <v>3.85</v>
      </c>
      <c r="R161" s="238"/>
      <c r="S161" s="238"/>
      <c r="T161" s="238"/>
      <c r="U161" s="244"/>
      <c r="V161" s="238"/>
      <c r="W161" s="238"/>
      <c r="X161" s="238"/>
      <c r="Y161" s="238"/>
    </row>
    <row r="162" spans="2:25">
      <c r="B162" s="197">
        <v>24</v>
      </c>
      <c r="C162" s="197">
        <v>59</v>
      </c>
      <c r="D162" s="197"/>
      <c r="E162" s="198" t="s">
        <v>26</v>
      </c>
      <c r="F162" s="199">
        <v>1.41</v>
      </c>
      <c r="G162" s="247">
        <v>1.65</v>
      </c>
      <c r="H162" s="247">
        <v>1.84</v>
      </c>
      <c r="I162" s="247">
        <v>1.93</v>
      </c>
      <c r="J162" s="247">
        <v>1.98</v>
      </c>
      <c r="K162" s="247">
        <v>2.83</v>
      </c>
      <c r="L162" s="247">
        <v>2.74</v>
      </c>
      <c r="M162" s="247">
        <v>2.89</v>
      </c>
      <c r="N162" s="247">
        <v>3.37</v>
      </c>
      <c r="O162" s="247">
        <v>3.4</v>
      </c>
      <c r="P162" s="247">
        <v>3.65</v>
      </c>
      <c r="Q162" s="247">
        <v>4.43</v>
      </c>
      <c r="R162" s="239"/>
      <c r="S162" s="239"/>
      <c r="T162" s="239"/>
      <c r="U162" s="245"/>
      <c r="V162" s="239"/>
      <c r="W162" s="239"/>
      <c r="X162" s="239"/>
      <c r="Y162" s="239"/>
    </row>
    <row r="163" spans="2:25">
      <c r="B163" s="197">
        <v>24</v>
      </c>
      <c r="C163" s="197">
        <v>64.400000000000006</v>
      </c>
      <c r="D163" s="197"/>
      <c r="E163" s="198" t="s">
        <v>26</v>
      </c>
      <c r="F163" s="199">
        <v>1.36</v>
      </c>
      <c r="G163" s="247">
        <v>1.59</v>
      </c>
      <c r="H163" s="247">
        <v>1.77</v>
      </c>
      <c r="I163" s="247">
        <v>1.86</v>
      </c>
      <c r="J163" s="247">
        <v>1.91</v>
      </c>
      <c r="K163" s="247">
        <v>2.73</v>
      </c>
      <c r="L163" s="247">
        <v>2.64</v>
      </c>
      <c r="M163" s="247">
        <v>2.79</v>
      </c>
      <c r="N163" s="247">
        <v>3.25</v>
      </c>
      <c r="O163" s="247">
        <v>3.23</v>
      </c>
      <c r="P163" s="247">
        <v>3.56</v>
      </c>
      <c r="Q163" s="247">
        <v>4.3099999999999996</v>
      </c>
      <c r="R163" s="238"/>
      <c r="S163" s="238"/>
      <c r="T163" s="238"/>
      <c r="U163" s="244"/>
      <c r="V163" s="238"/>
      <c r="W163" s="238"/>
      <c r="X163" s="238"/>
      <c r="Y163" s="238"/>
    </row>
    <row r="164" spans="2:25">
      <c r="B164" s="197">
        <v>24</v>
      </c>
      <c r="C164" s="197">
        <v>69</v>
      </c>
      <c r="D164" s="197"/>
      <c r="E164" s="198" t="s">
        <v>26</v>
      </c>
      <c r="F164" s="199">
        <v>1.32</v>
      </c>
      <c r="G164" s="247">
        <v>1.54</v>
      </c>
      <c r="H164" s="247">
        <v>1.72</v>
      </c>
      <c r="I164" s="247">
        <v>1.81</v>
      </c>
      <c r="J164" s="247">
        <v>1.81</v>
      </c>
      <c r="K164" s="247">
        <v>2.65</v>
      </c>
      <c r="L164" s="247">
        <v>2.56</v>
      </c>
      <c r="M164" s="247">
        <v>2.71</v>
      </c>
      <c r="N164" s="247">
        <v>3.16</v>
      </c>
      <c r="O164" s="247">
        <v>3.09</v>
      </c>
      <c r="P164" s="247">
        <v>3.49</v>
      </c>
      <c r="Q164" s="247">
        <v>3.76</v>
      </c>
      <c r="R164" s="238"/>
      <c r="S164" s="238"/>
      <c r="T164" s="238"/>
      <c r="U164" s="244"/>
      <c r="V164" s="238"/>
      <c r="W164" s="238"/>
      <c r="X164" s="238"/>
      <c r="Y164" s="238"/>
    </row>
    <row r="165" spans="2:25">
      <c r="B165" s="197">
        <v>24</v>
      </c>
      <c r="C165" s="197">
        <v>71.599999999999994</v>
      </c>
      <c r="D165" s="197"/>
      <c r="E165" s="198" t="s">
        <v>26</v>
      </c>
      <c r="F165" s="199">
        <v>1.29</v>
      </c>
      <c r="G165" s="247">
        <v>1.5</v>
      </c>
      <c r="H165" s="247">
        <v>1.67</v>
      </c>
      <c r="I165" s="247">
        <v>1.76</v>
      </c>
      <c r="J165" s="247">
        <v>1.8</v>
      </c>
      <c r="K165" s="247">
        <v>2.57</v>
      </c>
      <c r="L165" s="247">
        <v>2.4900000000000002</v>
      </c>
      <c r="M165" s="247">
        <v>2.63</v>
      </c>
      <c r="N165" s="247">
        <v>3.07</v>
      </c>
      <c r="O165" s="247">
        <v>3</v>
      </c>
      <c r="P165" s="247">
        <v>3.41</v>
      </c>
      <c r="Q165" s="247">
        <v>3.67</v>
      </c>
      <c r="R165" s="239"/>
      <c r="S165" s="239"/>
      <c r="T165" s="239"/>
      <c r="U165" s="245"/>
      <c r="V165" s="239"/>
      <c r="W165" s="239"/>
      <c r="X165" s="239"/>
      <c r="Y165" s="239"/>
    </row>
    <row r="166" spans="2:25">
      <c r="B166" s="197">
        <v>30</v>
      </c>
      <c r="C166" s="197">
        <v>59</v>
      </c>
      <c r="D166" s="197"/>
      <c r="E166" s="198" t="s">
        <v>26</v>
      </c>
      <c r="F166" s="199">
        <v>1.61</v>
      </c>
      <c r="G166" s="247">
        <v>1.91</v>
      </c>
      <c r="H166" s="247">
        <v>2.08</v>
      </c>
      <c r="I166" s="247">
        <v>2.17</v>
      </c>
      <c r="J166" s="247">
        <v>2.29</v>
      </c>
      <c r="K166" s="247">
        <v>2.5099999999999998</v>
      </c>
      <c r="L166" s="247">
        <v>2.52</v>
      </c>
      <c r="M166" s="247">
        <v>2.59</v>
      </c>
      <c r="N166" s="247">
        <v>3.34</v>
      </c>
      <c r="O166" s="247">
        <v>3.48</v>
      </c>
      <c r="P166" s="247">
        <v>3.45</v>
      </c>
      <c r="Q166" s="247">
        <v>3.64</v>
      </c>
      <c r="R166" s="238"/>
      <c r="S166" s="238"/>
      <c r="T166" s="238"/>
      <c r="U166" s="244"/>
      <c r="V166" s="238"/>
      <c r="W166" s="238"/>
      <c r="X166" s="238"/>
      <c r="Y166" s="238"/>
    </row>
    <row r="167" spans="2:25">
      <c r="B167" s="197">
        <v>30</v>
      </c>
      <c r="C167" s="197">
        <v>64.400000000000006</v>
      </c>
      <c r="D167" s="197"/>
      <c r="E167" s="198" t="s">
        <v>26</v>
      </c>
      <c r="F167" s="199">
        <v>1.58</v>
      </c>
      <c r="G167" s="247">
        <v>1.87</v>
      </c>
      <c r="H167" s="247">
        <v>2.0099999999999998</v>
      </c>
      <c r="I167" s="247">
        <v>2.0699999999999998</v>
      </c>
      <c r="J167" s="247">
        <v>2.1800000000000002</v>
      </c>
      <c r="K167" s="247">
        <v>2.39</v>
      </c>
      <c r="L167" s="247">
        <v>2.4</v>
      </c>
      <c r="M167" s="247">
        <v>2.4700000000000002</v>
      </c>
      <c r="N167" s="247">
        <v>3.26</v>
      </c>
      <c r="O167" s="247">
        <v>3.4</v>
      </c>
      <c r="P167" s="247">
        <v>3.37</v>
      </c>
      <c r="Q167" s="247">
        <v>3.56</v>
      </c>
      <c r="R167" s="238"/>
      <c r="S167" s="238"/>
      <c r="T167" s="238"/>
      <c r="U167" s="244"/>
      <c r="V167" s="238"/>
      <c r="W167" s="238"/>
      <c r="X167" s="238"/>
      <c r="Y167" s="238"/>
    </row>
    <row r="168" spans="2:25">
      <c r="B168" s="197">
        <v>30</v>
      </c>
      <c r="C168" s="197">
        <v>69</v>
      </c>
      <c r="D168" s="197"/>
      <c r="E168" s="198" t="s">
        <v>26</v>
      </c>
      <c r="F168" s="199">
        <v>1.39</v>
      </c>
      <c r="G168" s="247">
        <v>1.69</v>
      </c>
      <c r="H168" s="247">
        <v>1.78</v>
      </c>
      <c r="I168" s="247">
        <v>1.87</v>
      </c>
      <c r="J168" s="247">
        <v>2.04</v>
      </c>
      <c r="K168" s="247">
        <v>2.11</v>
      </c>
      <c r="L168" s="247">
        <v>2.11</v>
      </c>
      <c r="M168" s="247">
        <v>2.31</v>
      </c>
      <c r="N168" s="247">
        <v>3.17</v>
      </c>
      <c r="O168" s="247">
        <v>3.33</v>
      </c>
      <c r="P168" s="247">
        <v>3.4</v>
      </c>
      <c r="Q168" s="247">
        <v>3.58</v>
      </c>
      <c r="R168" s="239"/>
      <c r="S168" s="239"/>
      <c r="T168" s="239"/>
      <c r="U168" s="245"/>
      <c r="V168" s="239"/>
      <c r="W168" s="239"/>
      <c r="X168" s="239"/>
      <c r="Y168" s="239"/>
    </row>
    <row r="169" spans="2:25">
      <c r="B169" s="197">
        <v>30</v>
      </c>
      <c r="C169" s="197">
        <v>71.599999999999994</v>
      </c>
      <c r="D169" s="197"/>
      <c r="E169" s="198" t="s">
        <v>26</v>
      </c>
      <c r="F169" s="199">
        <v>1.25</v>
      </c>
      <c r="G169" s="247">
        <v>1.58</v>
      </c>
      <c r="H169" s="247">
        <v>1.69</v>
      </c>
      <c r="I169" s="247">
        <v>1.84</v>
      </c>
      <c r="J169" s="247">
        <v>2</v>
      </c>
      <c r="K169" s="247">
        <v>2.06</v>
      </c>
      <c r="L169" s="247">
        <v>2.0699999999999998</v>
      </c>
      <c r="M169" s="247">
        <v>2.2599999999999998</v>
      </c>
      <c r="N169" s="247">
        <v>3.09</v>
      </c>
      <c r="O169" s="247">
        <v>3.24</v>
      </c>
      <c r="P169" s="247">
        <v>3.32</v>
      </c>
      <c r="Q169" s="247">
        <v>3.49</v>
      </c>
      <c r="R169" s="238"/>
      <c r="S169" s="238"/>
      <c r="T169" s="238"/>
      <c r="U169" s="244"/>
      <c r="V169" s="238"/>
      <c r="W169" s="238"/>
      <c r="X169" s="238"/>
      <c r="Y169" s="238"/>
    </row>
    <row r="170" spans="2:25">
      <c r="B170" s="197">
        <v>36</v>
      </c>
      <c r="C170" s="197">
        <v>59</v>
      </c>
      <c r="D170" s="197"/>
      <c r="E170" s="198" t="s">
        <v>26</v>
      </c>
      <c r="F170" s="246">
        <v>1.42</v>
      </c>
      <c r="G170" s="247">
        <v>1.67</v>
      </c>
      <c r="H170" s="247">
        <v>1.74</v>
      </c>
      <c r="I170" s="247">
        <v>1.89</v>
      </c>
      <c r="J170" s="247">
        <v>2.0499999999999998</v>
      </c>
      <c r="K170" s="247">
        <v>2.25</v>
      </c>
      <c r="L170" s="247">
        <v>2.2799999999999998</v>
      </c>
      <c r="M170" s="247">
        <v>2.31</v>
      </c>
      <c r="N170" s="247">
        <v>2.77</v>
      </c>
      <c r="O170" s="247">
        <v>2.84</v>
      </c>
      <c r="P170" s="247">
        <v>3.4</v>
      </c>
      <c r="Q170" s="247">
        <v>4.04</v>
      </c>
      <c r="R170" s="238"/>
      <c r="S170" s="238"/>
      <c r="T170" s="238"/>
      <c r="U170" s="244"/>
      <c r="V170" s="238"/>
      <c r="W170" s="238"/>
      <c r="X170" s="238"/>
      <c r="Y170" s="238"/>
    </row>
    <row r="171" spans="2:25">
      <c r="B171" s="197">
        <v>36</v>
      </c>
      <c r="C171" s="197">
        <v>64.400000000000006</v>
      </c>
      <c r="D171" s="197"/>
      <c r="E171" s="198" t="s">
        <v>26</v>
      </c>
      <c r="F171" s="246">
        <v>1.39</v>
      </c>
      <c r="G171" s="247">
        <v>1.63</v>
      </c>
      <c r="H171" s="247">
        <v>1.7</v>
      </c>
      <c r="I171" s="247">
        <v>1.85</v>
      </c>
      <c r="J171" s="247">
        <v>2</v>
      </c>
      <c r="K171" s="247">
        <v>2.19</v>
      </c>
      <c r="L171" s="247">
        <v>2.2200000000000002</v>
      </c>
      <c r="M171" s="247">
        <v>2.25</v>
      </c>
      <c r="N171" s="247">
        <v>2.7</v>
      </c>
      <c r="O171" s="247">
        <v>2.76</v>
      </c>
      <c r="P171" s="247">
        <v>3.31</v>
      </c>
      <c r="Q171" s="247">
        <v>3.93</v>
      </c>
      <c r="R171" s="239"/>
      <c r="S171" s="239"/>
      <c r="T171" s="239"/>
      <c r="U171" s="245"/>
      <c r="V171" s="239"/>
      <c r="W171" s="239"/>
      <c r="X171" s="239"/>
      <c r="Y171" s="239"/>
    </row>
    <row r="172" spans="2:25">
      <c r="B172" s="197">
        <v>36</v>
      </c>
      <c r="C172" s="197">
        <v>69</v>
      </c>
      <c r="D172" s="197"/>
      <c r="E172" s="198" t="s">
        <v>26</v>
      </c>
      <c r="F172" s="246">
        <v>1.34</v>
      </c>
      <c r="G172" s="247">
        <v>1.58</v>
      </c>
      <c r="H172" s="247">
        <v>1.62</v>
      </c>
      <c r="I172" s="247">
        <v>1.77</v>
      </c>
      <c r="J172" s="247">
        <v>1.96</v>
      </c>
      <c r="K172" s="247">
        <v>2.09</v>
      </c>
      <c r="L172" s="247">
        <v>2.1</v>
      </c>
      <c r="M172" s="247">
        <v>2.1800000000000002</v>
      </c>
      <c r="N172" s="247">
        <v>2.69</v>
      </c>
      <c r="O172" s="247">
        <v>2.74</v>
      </c>
      <c r="P172" s="247">
        <v>3.18</v>
      </c>
      <c r="Q172" s="247">
        <v>3.71</v>
      </c>
      <c r="R172" s="238"/>
      <c r="S172" s="238"/>
      <c r="T172" s="238"/>
      <c r="U172" s="244"/>
      <c r="V172" s="238"/>
      <c r="W172" s="238"/>
      <c r="X172" s="238"/>
      <c r="Y172" s="238"/>
    </row>
    <row r="173" spans="2:25">
      <c r="B173" s="197">
        <v>36</v>
      </c>
      <c r="C173" s="197">
        <v>71.599999999999994</v>
      </c>
      <c r="D173" s="197"/>
      <c r="E173" s="198" t="s">
        <v>26</v>
      </c>
      <c r="F173" s="246">
        <v>1.3</v>
      </c>
      <c r="G173" s="247">
        <v>1.53</v>
      </c>
      <c r="H173" s="247">
        <v>1.58</v>
      </c>
      <c r="I173" s="247">
        <v>1.72</v>
      </c>
      <c r="J173" s="247">
        <v>1.9</v>
      </c>
      <c r="K173" s="247">
        <v>2.0299999999999998</v>
      </c>
      <c r="L173" s="247">
        <v>2.04</v>
      </c>
      <c r="M173" s="247">
        <v>2.11</v>
      </c>
      <c r="N173" s="247">
        <v>2.61</v>
      </c>
      <c r="O173" s="247">
        <v>2.66</v>
      </c>
      <c r="P173" s="247">
        <v>3.08</v>
      </c>
      <c r="Q173" s="247">
        <v>3.59</v>
      </c>
      <c r="R173" s="238"/>
      <c r="S173" s="238"/>
      <c r="T173" s="238"/>
      <c r="U173" s="244"/>
      <c r="V173" s="238"/>
      <c r="W173" s="238"/>
      <c r="X173" s="238"/>
      <c r="Y173" s="238"/>
    </row>
    <row r="174" spans="2:25">
      <c r="B174" s="197">
        <v>48</v>
      </c>
      <c r="C174" s="197">
        <v>59</v>
      </c>
      <c r="D174" s="197"/>
      <c r="E174" s="198" t="s">
        <v>26</v>
      </c>
      <c r="F174" s="246">
        <v>1.42</v>
      </c>
      <c r="G174" s="247">
        <v>1.67</v>
      </c>
      <c r="H174" s="247">
        <v>1.74</v>
      </c>
      <c r="I174" s="247">
        <v>1.89</v>
      </c>
      <c r="J174" s="247">
        <v>2.0499999999999998</v>
      </c>
      <c r="K174" s="247">
        <v>2.2400000000000002</v>
      </c>
      <c r="L174" s="247">
        <v>2.27</v>
      </c>
      <c r="M174" s="247">
        <v>2.31</v>
      </c>
      <c r="N174" s="247">
        <v>2.76</v>
      </c>
      <c r="O174" s="247">
        <v>2.83</v>
      </c>
      <c r="P174" s="247">
        <v>3.39</v>
      </c>
      <c r="Q174" s="247">
        <v>4.3099999999999996</v>
      </c>
      <c r="R174" s="239"/>
      <c r="S174" s="239"/>
      <c r="T174" s="239"/>
      <c r="U174" s="245"/>
      <c r="V174" s="239"/>
      <c r="W174" s="239"/>
      <c r="X174" s="239"/>
      <c r="Y174" s="239"/>
    </row>
    <row r="175" spans="2:25">
      <c r="B175" s="197">
        <v>48</v>
      </c>
      <c r="C175" s="197">
        <v>64.400000000000006</v>
      </c>
      <c r="D175" s="197"/>
      <c r="E175" s="198" t="s">
        <v>26</v>
      </c>
      <c r="F175" s="246">
        <v>1.37</v>
      </c>
      <c r="G175" s="247">
        <v>1.61</v>
      </c>
      <c r="H175" s="247">
        <v>1.68</v>
      </c>
      <c r="I175" s="247">
        <v>1.83</v>
      </c>
      <c r="J175" s="247">
        <v>1.98</v>
      </c>
      <c r="K175" s="247">
        <v>2.17</v>
      </c>
      <c r="L175" s="247">
        <v>2.19</v>
      </c>
      <c r="M175" s="247">
        <v>2.23</v>
      </c>
      <c r="N175" s="247">
        <v>2.66</v>
      </c>
      <c r="O175" s="247">
        <v>2.73</v>
      </c>
      <c r="P175" s="247">
        <v>3.27</v>
      </c>
      <c r="Q175" s="247">
        <v>4.1500000000000004</v>
      </c>
      <c r="R175" s="238"/>
      <c r="S175" s="238"/>
      <c r="T175" s="238"/>
      <c r="U175" s="244"/>
      <c r="V175" s="238"/>
      <c r="W175" s="238"/>
      <c r="X175" s="238"/>
      <c r="Y175" s="238"/>
    </row>
    <row r="176" spans="2:25">
      <c r="B176" s="197">
        <v>48</v>
      </c>
      <c r="C176" s="197">
        <v>69</v>
      </c>
      <c r="D176" s="197"/>
      <c r="E176" s="198" t="s">
        <v>26</v>
      </c>
      <c r="F176" s="246">
        <v>1.34</v>
      </c>
      <c r="G176" s="247">
        <v>1.58</v>
      </c>
      <c r="H176" s="247">
        <v>1.63</v>
      </c>
      <c r="I176" s="247">
        <v>1.77</v>
      </c>
      <c r="J176" s="247">
        <v>1.96</v>
      </c>
      <c r="K176" s="247">
        <v>2.09</v>
      </c>
      <c r="L176" s="247">
        <v>2.1</v>
      </c>
      <c r="M176" s="247">
        <v>2.1800000000000002</v>
      </c>
      <c r="N176" s="247">
        <v>2.69</v>
      </c>
      <c r="O176" s="247">
        <v>2.98</v>
      </c>
      <c r="P176" s="247">
        <v>3.47</v>
      </c>
      <c r="Q176" s="247">
        <v>3.82</v>
      </c>
      <c r="R176" s="238"/>
      <c r="S176" s="238"/>
      <c r="T176" s="238"/>
      <c r="U176" s="244"/>
      <c r="V176" s="238"/>
      <c r="W176" s="238"/>
      <c r="X176" s="238"/>
      <c r="Y176" s="238"/>
    </row>
    <row r="177" spans="1:25">
      <c r="B177" s="197">
        <v>48</v>
      </c>
      <c r="C177" s="197">
        <v>71.599999999999994</v>
      </c>
      <c r="D177" s="197"/>
      <c r="E177" s="198" t="s">
        <v>26</v>
      </c>
      <c r="F177" s="246">
        <v>1.3</v>
      </c>
      <c r="G177" s="247">
        <v>1.53</v>
      </c>
      <c r="H177" s="247">
        <v>1.58</v>
      </c>
      <c r="I177" s="247">
        <v>1.72</v>
      </c>
      <c r="J177" s="247">
        <v>1.9</v>
      </c>
      <c r="K177" s="247">
        <v>2.0299999999999998</v>
      </c>
      <c r="L177" s="247">
        <v>2.04</v>
      </c>
      <c r="M177" s="247">
        <v>2.11</v>
      </c>
      <c r="N177" s="247">
        <v>2.6</v>
      </c>
      <c r="O177" s="247">
        <v>2.66</v>
      </c>
      <c r="P177" s="247">
        <v>3.37</v>
      </c>
      <c r="Q177" s="247">
        <v>3.71</v>
      </c>
      <c r="R177" s="239"/>
      <c r="S177" s="239"/>
      <c r="T177" s="239"/>
      <c r="U177" s="245"/>
      <c r="V177" s="239"/>
      <c r="W177" s="239"/>
      <c r="X177" s="239"/>
      <c r="Y177" s="239"/>
    </row>
    <row r="178" spans="1:25">
      <c r="B178" s="233" t="s">
        <v>18</v>
      </c>
      <c r="E178" s="248"/>
      <c r="F178" s="249"/>
      <c r="G178" s="249"/>
      <c r="H178" s="249"/>
      <c r="I178" s="249"/>
      <c r="J178" s="249"/>
      <c r="K178" s="249"/>
      <c r="L178" s="249"/>
      <c r="M178" s="249"/>
      <c r="N178" s="249"/>
    </row>
    <row r="179" spans="1:25">
      <c r="B179" s="233" t="s">
        <v>19</v>
      </c>
      <c r="E179" s="248"/>
      <c r="F179" s="249"/>
      <c r="G179" s="249"/>
      <c r="H179" s="249"/>
      <c r="I179" s="249"/>
      <c r="J179" s="249"/>
      <c r="K179" s="249"/>
      <c r="L179" s="249"/>
      <c r="M179" s="249"/>
      <c r="N179" s="249"/>
    </row>
    <row r="180" spans="1:25">
      <c r="B180" s="233" t="s">
        <v>20</v>
      </c>
      <c r="E180" s="248"/>
      <c r="F180" s="249"/>
      <c r="G180" s="249"/>
      <c r="H180" s="249"/>
      <c r="I180" s="249"/>
      <c r="J180" s="249"/>
      <c r="K180" s="249"/>
      <c r="L180" s="249"/>
      <c r="M180" s="249"/>
      <c r="N180" s="249"/>
    </row>
    <row r="181" spans="1:25">
      <c r="B181" s="233" t="s">
        <v>21</v>
      </c>
      <c r="E181" s="248"/>
      <c r="F181" s="249"/>
      <c r="G181" s="249"/>
      <c r="H181" s="249"/>
      <c r="I181" s="249"/>
      <c r="J181" s="249"/>
      <c r="K181" s="249"/>
      <c r="L181" s="249"/>
      <c r="M181" s="249"/>
      <c r="N181" s="249"/>
    </row>
    <row r="182" spans="1:25">
      <c r="A182" s="248"/>
      <c r="B182" s="233" t="s">
        <v>23</v>
      </c>
      <c r="E182" s="248"/>
      <c r="F182" s="249"/>
      <c r="G182" s="249"/>
      <c r="H182" s="249"/>
      <c r="I182" s="249"/>
      <c r="J182" s="249"/>
      <c r="K182" s="249"/>
      <c r="L182" s="249"/>
      <c r="M182" s="249"/>
      <c r="N182" s="249"/>
      <c r="O182" s="249"/>
    </row>
    <row r="183" spans="1:25">
      <c r="A183" s="248"/>
      <c r="B183" s="248" t="s">
        <v>27</v>
      </c>
      <c r="C183" s="248"/>
      <c r="D183" s="248"/>
      <c r="E183" s="248"/>
      <c r="F183" s="249"/>
      <c r="G183" s="249"/>
      <c r="H183" s="249"/>
      <c r="I183" s="249"/>
      <c r="J183" s="249"/>
      <c r="K183" s="249"/>
      <c r="L183" s="249"/>
      <c r="M183" s="249"/>
      <c r="N183" s="249"/>
      <c r="O183" s="249"/>
    </row>
    <row r="184" spans="1:25">
      <c r="A184" s="248"/>
      <c r="B184" s="248"/>
      <c r="C184" s="248"/>
      <c r="D184" s="248"/>
      <c r="E184" s="248"/>
      <c r="F184" s="249"/>
      <c r="G184" s="249"/>
      <c r="H184" s="249"/>
      <c r="I184" s="249"/>
      <c r="J184" s="249"/>
      <c r="K184" s="249"/>
      <c r="L184" s="249"/>
      <c r="M184" s="249"/>
      <c r="N184" s="249"/>
      <c r="O184" s="249"/>
    </row>
    <row r="185" spans="1:25">
      <c r="A185" s="248"/>
      <c r="O185" s="249"/>
    </row>
    <row r="186" spans="1:25">
      <c r="A186" s="248"/>
      <c r="O186" s="249"/>
    </row>
    <row r="187" spans="1:25">
      <c r="A187" s="248"/>
      <c r="O187" s="249"/>
    </row>
    <row r="188" spans="1:25">
      <c r="A188" s="248"/>
      <c r="O188" s="249"/>
    </row>
  </sheetData>
  <sortState ref="B119:Q178">
    <sortCondition descending="1" ref="E119:E178"/>
    <sortCondition ref="B119:B178"/>
  </sortState>
  <mergeCells count="42">
    <mergeCell ref="AD1:AI1"/>
    <mergeCell ref="AK1:AP1"/>
    <mergeCell ref="G115:Q115"/>
    <mergeCell ref="C116:D117"/>
    <mergeCell ref="AJ93:AJ100"/>
    <mergeCell ref="AJ8:AJ13"/>
    <mergeCell ref="AJ14:AJ18"/>
    <mergeCell ref="AL2:AP2"/>
    <mergeCell ref="AJ101:AJ118"/>
    <mergeCell ref="AJ4:AJ6"/>
    <mergeCell ref="Z2:AA2"/>
    <mergeCell ref="AJ119:AJ136"/>
    <mergeCell ref="AJ137:AJ148"/>
    <mergeCell ref="B24:B26"/>
    <mergeCell ref="C24:E24"/>
    <mergeCell ref="F24:Q24"/>
    <mergeCell ref="C25:D25"/>
    <mergeCell ref="E25:E26"/>
    <mergeCell ref="AJ28:AJ39"/>
    <mergeCell ref="AJ40:AJ46"/>
    <mergeCell ref="AJ48:AJ55"/>
    <mergeCell ref="AJ56:AJ73"/>
    <mergeCell ref="AJ74:AJ91"/>
    <mergeCell ref="B115:B117"/>
    <mergeCell ref="C115:E115"/>
    <mergeCell ref="AJ20:AJ27"/>
    <mergeCell ref="BZ1:CE1"/>
    <mergeCell ref="CA2:CE2"/>
    <mergeCell ref="CF1:CK1"/>
    <mergeCell ref="CG2:CK2"/>
    <mergeCell ref="AQ1:AV1"/>
    <mergeCell ref="AW1:BB1"/>
    <mergeCell ref="AX2:BB2"/>
    <mergeCell ref="BU2:BY2"/>
    <mergeCell ref="AR2:AV2"/>
    <mergeCell ref="BU1:BY1"/>
    <mergeCell ref="BC1:BH1"/>
    <mergeCell ref="BI1:BN1"/>
    <mergeCell ref="BO1:BT1"/>
    <mergeCell ref="BJ2:BN2"/>
    <mergeCell ref="BP2:BT2"/>
    <mergeCell ref="BD2:BH2"/>
  </mergeCells>
  <phoneticPr fontId="35" type="noConversion"/>
  <conditionalFormatting sqref="AD2:CE148">
    <cfRule type="expression" dxfId="21" priority="10">
      <formula>AD2=""</formula>
    </cfRule>
  </conditionalFormatting>
  <conditionalFormatting sqref="AK4:AK148">
    <cfRule type="cellIs" dxfId="20" priority="25" operator="greaterThan">
      <formula>$BC4</formula>
    </cfRule>
  </conditionalFormatting>
  <conditionalFormatting sqref="BI4:BI148">
    <cfRule type="cellIs" dxfId="19" priority="7" operator="greaterThan">
      <formula>$BZ4</formula>
    </cfRule>
  </conditionalFormatting>
  <conditionalFormatting sqref="CF2:CK148">
    <cfRule type="expression" dxfId="18" priority="3">
      <formula>CF2=""</formula>
    </cfRule>
  </conditionalFormatting>
  <conditionalFormatting sqref="CF4:CF148">
    <cfRule type="cellIs" dxfId="17" priority="4" operator="greaterThan">
      <formula>$BC4</formula>
    </cfRule>
  </conditionalFormatting>
  <conditionalFormatting sqref="AC2:AC148">
    <cfRule type="expression" dxfId="16" priority="1">
      <formula>AC2=""</formula>
    </cfRule>
  </conditionalFormatting>
  <pageMargins left="0.25" right="0.25" top="0.25" bottom="0.25" header="0.3" footer="0.3"/>
  <pageSetup scale="18" orientation="portrait" horizontalDpi="4294967293" verticalDpi="96" r:id="rId1"/>
  <rowBreaks count="1" manualBreakCount="1">
    <brk id="112" max="16383" man="1"/>
  </rowBreaks>
  <colBreaks count="2" manualBreakCount="2">
    <brk id="18" max="1048575" man="1"/>
    <brk id="28" max="1048575" man="1"/>
  </colBreaks>
  <ignoredErrors>
    <ignoredError sqref="AQ4:AQ6 AQ8:AQ18 AQ48:AQ91 AQ20:AQ46 AQ93:AQ148 V27:V45 V67:V85 V119 V121 V123 V125 V127 V129 V131 V133 V135"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88"/>
  <sheetViews>
    <sheetView zoomScale="60" zoomScaleNormal="60" workbookViewId="0"/>
  </sheetViews>
  <sheetFormatPr defaultColWidth="10" defaultRowHeight="13.8" outlineLevelCol="1"/>
  <cols>
    <col min="1" max="1" width="5.5546875" style="5" customWidth="1"/>
    <col min="2" max="2" width="27.88671875" style="5" customWidth="1"/>
    <col min="3" max="3" width="7.44140625" style="5" bestFit="1" customWidth="1"/>
    <col min="4" max="4" width="7.44140625" style="5" customWidth="1"/>
    <col min="5" max="5" width="6.109375" style="5" bestFit="1" customWidth="1"/>
    <col min="6" max="6" width="7" style="6" bestFit="1" customWidth="1"/>
    <col min="7" max="8" width="8.33203125" style="6" bestFit="1" customWidth="1"/>
    <col min="9" max="10" width="7.88671875" style="6" bestFit="1" customWidth="1"/>
    <col min="11" max="17" width="7.44140625" style="6" bestFit="1" customWidth="1"/>
    <col min="18" max="19" width="7.44140625" style="5" customWidth="1"/>
    <col min="20" max="20" width="9.109375" style="5" bestFit="1" customWidth="1"/>
    <col min="21" max="21" width="9.109375" style="5" customWidth="1"/>
    <col min="22" max="22" width="42.109375" style="5" bestFit="1" customWidth="1"/>
    <col min="23" max="25" width="9.109375" style="5" customWidth="1"/>
    <col min="26" max="26" width="12.44140625" style="5" bestFit="1" customWidth="1"/>
    <col min="27" max="27" width="13.109375" style="5" bestFit="1" customWidth="1"/>
    <col min="28" max="28" width="14.44140625" style="5" customWidth="1"/>
    <col min="29" max="29" width="16" style="153" bestFit="1" customWidth="1"/>
    <col min="30" max="36" width="10" style="153"/>
    <col min="37" max="37" width="10" style="154"/>
    <col min="38" max="42" width="10" style="153"/>
    <col min="43" max="43" width="10" style="154" hidden="1" customWidth="1" outlineLevel="1"/>
    <col min="44" max="48" width="10" style="153" hidden="1" customWidth="1" outlineLevel="1"/>
    <col min="49" max="49" width="10" style="154" hidden="1" customWidth="1" outlineLevel="1"/>
    <col min="50" max="54" width="10" style="153" hidden="1" customWidth="1" outlineLevel="1"/>
    <col min="55" max="55" width="10" style="154" hidden="1" customWidth="1" outlineLevel="1"/>
    <col min="56" max="60" width="10" style="153" hidden="1" customWidth="1" outlineLevel="1"/>
    <col min="61" max="61" width="10" style="154" collapsed="1"/>
    <col min="62" max="66" width="10" style="153"/>
    <col min="67" max="67" width="10" style="154" hidden="1" customWidth="1" outlineLevel="1"/>
    <col min="68" max="77" width="10" style="153" hidden="1" customWidth="1" outlineLevel="1"/>
    <col min="78" max="78" width="10" style="154" hidden="1" customWidth="1" outlineLevel="1"/>
    <col min="79" max="83" width="10" style="153" hidden="1" customWidth="1" outlineLevel="1"/>
    <col min="84" max="84" width="10" style="154" collapsed="1"/>
    <col min="85" max="89" width="10" style="153"/>
    <col min="90" max="16384" width="10" style="5"/>
  </cols>
  <sheetData>
    <row r="1" spans="1:89">
      <c r="A1" s="4" t="s">
        <v>282</v>
      </c>
      <c r="AD1" s="497" t="s">
        <v>74</v>
      </c>
      <c r="AE1" s="497"/>
      <c r="AF1" s="497"/>
      <c r="AG1" s="497"/>
      <c r="AH1" s="497"/>
      <c r="AI1" s="497"/>
      <c r="AJ1" s="155"/>
      <c r="AK1" s="497" t="s">
        <v>100</v>
      </c>
      <c r="AL1" s="497"/>
      <c r="AM1" s="497"/>
      <c r="AN1" s="497"/>
      <c r="AO1" s="497"/>
      <c r="AP1" s="497"/>
      <c r="AQ1" s="497" t="s">
        <v>103</v>
      </c>
      <c r="AR1" s="497"/>
      <c r="AS1" s="497"/>
      <c r="AT1" s="497"/>
      <c r="AU1" s="497"/>
      <c r="AV1" s="497"/>
      <c r="AW1" s="497" t="s">
        <v>105</v>
      </c>
      <c r="AX1" s="497"/>
      <c r="AY1" s="497"/>
      <c r="AZ1" s="497"/>
      <c r="BA1" s="497"/>
      <c r="BB1" s="497"/>
      <c r="BC1" s="493" t="s">
        <v>102</v>
      </c>
      <c r="BD1" s="494"/>
      <c r="BE1" s="494"/>
      <c r="BF1" s="494"/>
      <c r="BG1" s="494"/>
      <c r="BH1" s="495"/>
      <c r="BI1" s="497" t="s">
        <v>101</v>
      </c>
      <c r="BJ1" s="497"/>
      <c r="BK1" s="497"/>
      <c r="BL1" s="497"/>
      <c r="BM1" s="497"/>
      <c r="BN1" s="497"/>
      <c r="BO1" s="497" t="s">
        <v>106</v>
      </c>
      <c r="BP1" s="497"/>
      <c r="BQ1" s="497"/>
      <c r="BR1" s="497"/>
      <c r="BS1" s="497"/>
      <c r="BT1" s="497"/>
      <c r="BU1" s="497" t="s">
        <v>107</v>
      </c>
      <c r="BV1" s="497"/>
      <c r="BW1" s="497"/>
      <c r="BX1" s="497"/>
      <c r="BY1" s="497"/>
      <c r="BZ1" s="493" t="s">
        <v>108</v>
      </c>
      <c r="CA1" s="494"/>
      <c r="CB1" s="494"/>
      <c r="CC1" s="494"/>
      <c r="CD1" s="494"/>
      <c r="CE1" s="495"/>
      <c r="CF1" s="497" t="s">
        <v>110</v>
      </c>
      <c r="CG1" s="497"/>
      <c r="CH1" s="497"/>
      <c r="CI1" s="497"/>
      <c r="CJ1" s="497"/>
      <c r="CK1" s="497"/>
    </row>
    <row r="2" spans="1:89">
      <c r="A2" s="4"/>
      <c r="Z2" s="504" t="s">
        <v>55</v>
      </c>
      <c r="AA2" s="504"/>
      <c r="AC2" s="273" t="s">
        <v>56</v>
      </c>
      <c r="AD2" s="273"/>
      <c r="AE2" s="271" t="s">
        <v>56</v>
      </c>
      <c r="AF2" s="271"/>
      <c r="AG2" s="271"/>
      <c r="AH2" s="273"/>
      <c r="AI2" s="273"/>
      <c r="AJ2" s="158" t="s">
        <v>57</v>
      </c>
      <c r="AK2" s="158" t="s">
        <v>66</v>
      </c>
      <c r="AL2" s="498" t="s">
        <v>58</v>
      </c>
      <c r="AM2" s="498"/>
      <c r="AN2" s="498"/>
      <c r="AO2" s="498"/>
      <c r="AP2" s="498"/>
      <c r="AQ2" s="158" t="s">
        <v>66</v>
      </c>
      <c r="AR2" s="499" t="s">
        <v>58</v>
      </c>
      <c r="AS2" s="499">
        <v>0</v>
      </c>
      <c r="AT2" s="499">
        <v>0</v>
      </c>
      <c r="AU2" s="499">
        <v>0</v>
      </c>
      <c r="AV2" s="499">
        <v>0</v>
      </c>
      <c r="AW2" s="158" t="s">
        <v>66</v>
      </c>
      <c r="AX2" s="499" t="s">
        <v>58</v>
      </c>
      <c r="AY2" s="499">
        <v>0</v>
      </c>
      <c r="AZ2" s="499">
        <v>0</v>
      </c>
      <c r="BA2" s="499">
        <v>0</v>
      </c>
      <c r="BB2" s="499">
        <v>0</v>
      </c>
      <c r="BC2" s="159" t="s">
        <v>66</v>
      </c>
      <c r="BD2" s="496" t="s">
        <v>58</v>
      </c>
      <c r="BE2" s="496"/>
      <c r="BF2" s="496"/>
      <c r="BG2" s="496"/>
      <c r="BH2" s="496"/>
      <c r="BI2" s="158" t="s">
        <v>66</v>
      </c>
      <c r="BJ2" s="498" t="s">
        <v>58</v>
      </c>
      <c r="BK2" s="498"/>
      <c r="BL2" s="498"/>
      <c r="BM2" s="498"/>
      <c r="BN2" s="498"/>
      <c r="BO2" s="158" t="s">
        <v>66</v>
      </c>
      <c r="BP2" s="499" t="s">
        <v>58</v>
      </c>
      <c r="BQ2" s="499">
        <v>0</v>
      </c>
      <c r="BR2" s="499">
        <v>0</v>
      </c>
      <c r="BS2" s="499">
        <v>0</v>
      </c>
      <c r="BT2" s="499">
        <v>0</v>
      </c>
      <c r="BU2" s="499" t="s">
        <v>59</v>
      </c>
      <c r="BV2" s="499"/>
      <c r="BW2" s="499"/>
      <c r="BX2" s="499"/>
      <c r="BY2" s="499"/>
      <c r="BZ2" s="159" t="s">
        <v>66</v>
      </c>
      <c r="CA2" s="496" t="s">
        <v>58</v>
      </c>
      <c r="CB2" s="496"/>
      <c r="CC2" s="496"/>
      <c r="CD2" s="496"/>
      <c r="CE2" s="496"/>
      <c r="CF2" s="158" t="s">
        <v>66</v>
      </c>
      <c r="CG2" s="498" t="s">
        <v>58</v>
      </c>
      <c r="CH2" s="498"/>
      <c r="CI2" s="498"/>
      <c r="CJ2" s="498"/>
      <c r="CK2" s="498"/>
    </row>
    <row r="3" spans="1:89" ht="27.6">
      <c r="A3" s="4"/>
      <c r="Z3" s="295" t="s">
        <v>54</v>
      </c>
      <c r="AA3" s="295" t="s">
        <v>257</v>
      </c>
      <c r="AC3" s="160" t="s">
        <v>45</v>
      </c>
      <c r="AD3" s="160">
        <v>18</v>
      </c>
      <c r="AE3" s="160"/>
      <c r="AF3" s="160"/>
      <c r="AG3" s="161"/>
      <c r="AH3" s="160"/>
      <c r="AI3" s="160"/>
      <c r="AJ3" s="160"/>
      <c r="AK3" s="273"/>
      <c r="AL3" s="272" t="s">
        <v>60</v>
      </c>
      <c r="AM3" s="272" t="s">
        <v>61</v>
      </c>
      <c r="AN3" s="272" t="s">
        <v>62</v>
      </c>
      <c r="AO3" s="272" t="s">
        <v>63</v>
      </c>
      <c r="AP3" s="272" t="s">
        <v>64</v>
      </c>
      <c r="AQ3" s="160"/>
      <c r="AR3" s="160" t="s">
        <v>60</v>
      </c>
      <c r="AS3" s="160" t="s">
        <v>61</v>
      </c>
      <c r="AT3" s="160" t="s">
        <v>62</v>
      </c>
      <c r="AU3" s="160" t="s">
        <v>63</v>
      </c>
      <c r="AV3" s="160" t="s">
        <v>64</v>
      </c>
      <c r="AW3" s="160"/>
      <c r="AX3" s="160" t="s">
        <v>60</v>
      </c>
      <c r="AY3" s="160" t="s">
        <v>61</v>
      </c>
      <c r="AZ3" s="160" t="s">
        <v>62</v>
      </c>
      <c r="BA3" s="160" t="s">
        <v>63</v>
      </c>
      <c r="BB3" s="160" t="s">
        <v>64</v>
      </c>
      <c r="BC3" s="274"/>
      <c r="BD3" s="274" t="s">
        <v>60</v>
      </c>
      <c r="BE3" s="274" t="s">
        <v>61</v>
      </c>
      <c r="BF3" s="274" t="s">
        <v>62</v>
      </c>
      <c r="BG3" s="274" t="s">
        <v>63</v>
      </c>
      <c r="BH3" s="274" t="s">
        <v>64</v>
      </c>
      <c r="BI3" s="273"/>
      <c r="BJ3" s="272" t="s">
        <v>60</v>
      </c>
      <c r="BK3" s="272" t="s">
        <v>61</v>
      </c>
      <c r="BL3" s="272" t="s">
        <v>62</v>
      </c>
      <c r="BM3" s="272" t="s">
        <v>63</v>
      </c>
      <c r="BN3" s="272" t="s">
        <v>64</v>
      </c>
      <c r="BO3" s="160"/>
      <c r="BP3" s="160" t="s">
        <v>60</v>
      </c>
      <c r="BQ3" s="160" t="s">
        <v>61</v>
      </c>
      <c r="BR3" s="160" t="s">
        <v>62</v>
      </c>
      <c r="BS3" s="160" t="s">
        <v>63</v>
      </c>
      <c r="BT3" s="160" t="s">
        <v>64</v>
      </c>
      <c r="BU3" s="160" t="s">
        <v>60</v>
      </c>
      <c r="BV3" s="160" t="s">
        <v>61</v>
      </c>
      <c r="BW3" s="160" t="s">
        <v>62</v>
      </c>
      <c r="BX3" s="160" t="s">
        <v>63</v>
      </c>
      <c r="BY3" s="160" t="s">
        <v>64</v>
      </c>
      <c r="BZ3" s="274"/>
      <c r="CA3" s="274" t="s">
        <v>60</v>
      </c>
      <c r="CB3" s="274" t="s">
        <v>61</v>
      </c>
      <c r="CC3" s="274" t="s">
        <v>62</v>
      </c>
      <c r="CD3" s="274" t="s">
        <v>63</v>
      </c>
      <c r="CE3" s="274" t="s">
        <v>64</v>
      </c>
      <c r="CF3" s="273"/>
      <c r="CG3" s="272" t="s">
        <v>60</v>
      </c>
      <c r="CH3" s="272" t="s">
        <v>61</v>
      </c>
      <c r="CI3" s="272" t="s">
        <v>62</v>
      </c>
      <c r="CJ3" s="272" t="s">
        <v>63</v>
      </c>
      <c r="CK3" s="272" t="s">
        <v>64</v>
      </c>
    </row>
    <row r="4" spans="1:89">
      <c r="A4" s="4"/>
      <c r="Z4" s="295">
        <v>9</v>
      </c>
      <c r="AA4" s="296">
        <v>1</v>
      </c>
      <c r="AC4" s="164" t="s">
        <v>245</v>
      </c>
      <c r="AD4" s="164">
        <v>18</v>
      </c>
      <c r="AE4" s="165">
        <v>9</v>
      </c>
      <c r="AF4" s="165">
        <v>9</v>
      </c>
      <c r="AG4" s="165"/>
      <c r="AH4" s="164"/>
      <c r="AI4" s="164"/>
      <c r="AJ4" s="522">
        <v>2</v>
      </c>
      <c r="AK4" s="166">
        <f ca="1">SUM(AL4:AP4)</f>
        <v>20.764444444444454</v>
      </c>
      <c r="AL4" s="167">
        <f ca="1">IF((INDEX($AA$4:$AA$7,MATCH(INDOOR_1,$Z$4:$Z$7))*(INDEX($X$27:$X$46,MATCH($AD4,$W$27:$W$46,1))/(INDEX($AA$4:$AA$7,MATCH(INDOOR_1,$Z$4:$Z$7))+INDEX($AA$4:$AA$7,MATCH(INDOOR_2,$Z$4:$Z$7)))))
&gt;AR4,AR4,
(INDEX($AA$4:$AA$7,MATCH(INDOOR_1,$Z$4:$Z$7))*(INDEX($X$27:$X$46,MATCH($AD4,$W$27:$W$46,1))/(INDEX($AA$4:$AA$7,MATCH(INDOOR_1,$Z$4:$Z$7))+INDEX($AA$4:$AA$7,MATCH(INDOOR_2,$Z$4:$Z$7))))))</f>
        <v>10.382222222222227</v>
      </c>
      <c r="AM4" s="167">
        <f ca="1">IF((INDEX($AA$4:$AA$7,MATCH(INDOOR_2,$Z$4:$Z$7))*(INDEX($X$27:$X$46,MATCH($AD4,$W$27:$W$46,1))/(INDEX($AA$4:$AA$7,MATCH(INDOOR_1,$Z$4:$Z$7))+INDEX($AA$4:$AA$7,MATCH(INDOOR_2,$Z$4:$Z$7)))))
&gt;AS4,AS4,
(INDEX($AA$4:$AA$7,MATCH(INDOOR_2,$Z$4:$Z$7))*(INDEX($X$27:$X$46,MATCH($AD4,$W$27:$W$46,1))/(INDEX($AA$4:$AA$7,MATCH(INDOOR_1,$Z$4:$Z$7))+INDEX($AA$4:$AA$7,MATCH(INDOOR_2,$Z$4:$Z$7))))))</f>
        <v>10.382222222222227</v>
      </c>
      <c r="AN4" s="168"/>
      <c r="AO4" s="168"/>
      <c r="AP4" s="168"/>
      <c r="AQ4" s="169">
        <f ca="1">SUM(AR4:AV4)</f>
        <v>20.926222222222222</v>
      </c>
      <c r="AR4" s="170">
        <f ca="1">INDEX('Cap based on indoor unit SZ'!$J$6:$J$21,MATCH(AE4,'Cap based on indoor unit SZ'!$I$6:$I$21))</f>
        <v>10.463111111111111</v>
      </c>
      <c r="AS4" s="170">
        <f ca="1">INDEX('Cap based on indoor unit SZ'!$J$6:$J$21,MATCH(AF4,'Cap based on indoor unit SZ'!$I$6:$I$21))</f>
        <v>10.463111111111111</v>
      </c>
      <c r="AT4" s="171"/>
      <c r="AU4" s="171"/>
      <c r="AV4" s="171"/>
      <c r="AW4" s="169">
        <f>SUM(AX4:BB4)</f>
        <v>18</v>
      </c>
      <c r="AX4" s="170">
        <v>9</v>
      </c>
      <c r="AY4" s="170">
        <v>9</v>
      </c>
      <c r="AZ4" s="171"/>
      <c r="BA4" s="171"/>
      <c r="BB4" s="171"/>
      <c r="BC4" s="172">
        <f ca="1">SUM(BD4:BH4)</f>
        <v>20.764444444444454</v>
      </c>
      <c r="BD4" s="173">
        <f ca="1">(INDEX($AA$4:$AA$7,MATCH(INDOOR_1,$Z$4:$Z$7))*(INDEX($X$27:$X$46,MATCH($AD4,$W$27:$W$46,1))/(INDEX($AA$4:$AA$7,MATCH(INDOOR_1,$Z$4:$Z$7))+INDEX($AA$4:$AA$7,MATCH(INDOOR_2,$Z$4:$Z$7)))))</f>
        <v>10.382222222222227</v>
      </c>
      <c r="BE4" s="173">
        <f ca="1">(INDEX($AA$4:$AA$7,MATCH(INDOOR_2,$Z$4:$Z$7))*(INDEX($X$27:$X$46,MATCH($AD4,$W$27:$W$46,1))/(INDEX($AA$4:$AA$7,MATCH(INDOOR_1,$Z$4:$Z$7))+INDEX($AA$4:$AA$7,MATCH(INDOOR_2,$Z$4:$Z$7)))))</f>
        <v>10.382222222222227</v>
      </c>
      <c r="BF4" s="174"/>
      <c r="BG4" s="174"/>
      <c r="BH4" s="174"/>
      <c r="BI4" s="166">
        <f ca="1">SUM(BJ4:BN4)</f>
        <v>22.199786324786327</v>
      </c>
      <c r="BJ4" s="167">
        <f ca="1">IF((INDEX($AA$4:$AA$7,MATCH(INDOOR_1,$Z$4:$Z$7))*(INDEX($X$118:$X$137,MATCH($AD4,$W$118:$W$137,1))/(INDEX($AA$4:$AA$7,MATCH(INDOOR_1,$Z$4:$Z$7))+INDEX($AA$4:$AA$7,MATCH(INDOOR_2,$Z$4:$Z$7)))))
&gt;BP4,BP4,
(INDEX($AA$4:$AA$7,MATCH(INDOOR_1,$Z$4:$Z$7))*(INDEX($X$118:$X$137,MATCH($AD4,$W$118:$W$137,1))/(INDEX($AA$4:$AA$7,MATCH(INDOOR_1,$Z$4:$Z$7))+INDEX($AA$4:$AA$7,MATCH(INDOOR_2,$Z$4:$Z$7))))))</f>
        <v>11.099893162393164</v>
      </c>
      <c r="BK4" s="167">
        <f ca="1">IF((INDEX($AA$4:$AA$7,MATCH(INDOOR_2,$Z$4:$Z$7))*(INDEX($X$118:$X$137,MATCH($AD4,$W$118:$W$137,1))/(INDEX($AA$4:$AA$7,MATCH(INDOOR_1,$Z$4:$Z$7))+INDEX($AA$4:$AA$7,MATCH(INDOOR_2,$Z$4:$Z$7)))))
&gt;BQ4,BQ4,
(INDEX($AA$4:$AA$7,MATCH(INDOOR_2,$Z$4:$Z$7))*(INDEX($X$118:$X$137,MATCH($AD4,$W$118:$W$137,1))/(INDEX($AA$4:$AA$7,MATCH(INDOOR_1,$Z$4:$Z$7))+INDEX($AA$4:$AA$7,MATCH(INDOOR_2,$Z$4:$Z$7))))))</f>
        <v>11.099893162393164</v>
      </c>
      <c r="BL4" s="168"/>
      <c r="BM4" s="168"/>
      <c r="BN4" s="168"/>
      <c r="BO4" s="169">
        <f ca="1">SUM(BP4:BT4)</f>
        <v>23.912041025641024</v>
      </c>
      <c r="BP4" s="170">
        <f ca="1">INDEX('Cap based on indoor unit SZ'!$V$43:$V$58,MATCH(AE4,'Cap based on indoor unit SZ'!$U$43:$U$58))</f>
        <v>11.956020512820512</v>
      </c>
      <c r="BQ4" s="170">
        <f ca="1">INDEX('Cap based on indoor unit SZ'!$V$43:$V$58,MATCH(AF4,'Cap based on indoor unit SZ'!$U$43:$U$58))</f>
        <v>11.956020512820512</v>
      </c>
      <c r="BR4" s="171"/>
      <c r="BS4" s="171"/>
      <c r="BT4" s="171"/>
      <c r="BU4" s="175">
        <v>9500</v>
      </c>
      <c r="BV4" s="175">
        <v>9500</v>
      </c>
      <c r="BW4" s="171"/>
      <c r="BX4" s="171"/>
      <c r="BY4" s="171"/>
      <c r="BZ4" s="172">
        <f ca="1">SUM(CA4:CE4)</f>
        <v>22.199786324786327</v>
      </c>
      <c r="CA4" s="173">
        <f ca="1">(INDEX($AA$4:$AA$7,MATCH(INDOOR_1,$Z$4:$Z$7))*(INDEX($X$118:$X$137,MATCH($AD4,$W$118:$W$137,1))/(INDEX($AA$4:$AA$7,MATCH(INDOOR_1,$Z$4:$Z$7))+INDEX($AA$4:$AA$7,MATCH(INDOOR_2,$Z$4:$Z$7)))))</f>
        <v>11.099893162393164</v>
      </c>
      <c r="CB4" s="173">
        <f ca="1">(INDEX($AA$4:$AA$7,MATCH(INDOOR_2,$Z$4:$Z$7))*(INDEX($X$118:$X$137,MATCH($AD4,$W$118:$W$137,1))/(INDEX($AA$4:$AA$7,MATCH(INDOOR_1,$Z$4:$Z$7))+INDEX($AA$4:$AA$7,MATCH(INDOOR_2,$Z$4:$Z$7)))))</f>
        <v>11.099893162393164</v>
      </c>
      <c r="CC4" s="174"/>
      <c r="CD4" s="174"/>
      <c r="CE4" s="174"/>
      <c r="CF4" s="166">
        <f ca="1">SUM(CG4:CK4)</f>
        <v>15.418225762243953</v>
      </c>
      <c r="CG4" s="167">
        <f t="shared" ref="CG4:CH6" ca="1" si="0">AL4*(INDEX($X$67:$X$86,MATCH($AD4,$W$67:$W$86,1)))</f>
        <v>7.7091128811219765</v>
      </c>
      <c r="CH4" s="167">
        <f t="shared" ca="1" si="0"/>
        <v>7.7091128811219765</v>
      </c>
      <c r="CI4" s="168"/>
      <c r="CJ4" s="168"/>
      <c r="CK4" s="168"/>
    </row>
    <row r="5" spans="1:89">
      <c r="A5" s="4"/>
      <c r="Z5" s="295">
        <v>12</v>
      </c>
      <c r="AA5" s="296">
        <v>1.3333333333333333</v>
      </c>
      <c r="AC5" s="164" t="s">
        <v>228</v>
      </c>
      <c r="AD5" s="164">
        <v>18</v>
      </c>
      <c r="AE5" s="165">
        <v>9</v>
      </c>
      <c r="AF5" s="165">
        <v>12</v>
      </c>
      <c r="AG5" s="165"/>
      <c r="AH5" s="164"/>
      <c r="AI5" s="164"/>
      <c r="AJ5" s="525"/>
      <c r="AK5" s="166">
        <f ca="1">SUM(AL5:AP5)</f>
        <v>20.764444444444454</v>
      </c>
      <c r="AL5" s="167">
        <f ca="1">IF((INDEX($AA$4:$AA$7,MATCH(INDOOR_1,$Z$4:$Z$7))*(INDEX($X$27:$X$46,MATCH($AD5,$W$27:$W$46,1))/(INDEX($AA$4:$AA$7,MATCH(INDOOR_1,$Z$4:$Z$7))+INDEX($AA$4:$AA$7,MATCH(INDOOR_2,$Z$4:$Z$7)))))
&gt;AR5,AR5,
(INDEX($AA$4:$AA$7,MATCH(INDOOR_1,$Z$4:$Z$7))*(INDEX($X$27:$X$46,MATCH($AD5,$W$27:$W$46,1))/(INDEX($AA$4:$AA$7,MATCH(INDOOR_1,$Z$4:$Z$7))+INDEX($AA$4:$AA$7,MATCH(INDOOR_2,$Z$4:$Z$7))))))</f>
        <v>8.8990476190476233</v>
      </c>
      <c r="AM5" s="167">
        <f ca="1">IF((INDEX($AA$4:$AA$7,MATCH(INDOOR_2,$Z$4:$Z$7))*(INDEX($X$27:$X$46,MATCH($AD5,$W$27:$W$46,1))/(INDEX($AA$4:$AA$7,MATCH(INDOOR_1,$Z$4:$Z$7))+INDEX($AA$4:$AA$7,MATCH(INDOOR_2,$Z$4:$Z$7)))))
&gt;AS5,AS5,
(INDEX($AA$4:$AA$7,MATCH(INDOOR_2,$Z$4:$Z$7))*(INDEX($X$27:$X$46,MATCH($AD5,$W$27:$W$46,1))/(INDEX($AA$4:$AA$7,MATCH(INDOOR_1,$Z$4:$Z$7))+INDEX($AA$4:$AA$7,MATCH(INDOOR_2,$Z$4:$Z$7))))))</f>
        <v>11.86539682539683</v>
      </c>
      <c r="AN5" s="168"/>
      <c r="AO5" s="168"/>
      <c r="AP5" s="168"/>
      <c r="AQ5" s="169">
        <f ca="1">SUM(AR5:AV5)</f>
        <v>23.542000000000002</v>
      </c>
      <c r="AR5" s="170">
        <f ca="1">INDEX('Cap based on indoor unit SZ'!$J$6:$J$21,MATCH(AE5,'Cap based on indoor unit SZ'!$I$6:$I$21))</f>
        <v>10.463111111111111</v>
      </c>
      <c r="AS5" s="170">
        <f ca="1">INDEX('Cap based on indoor unit SZ'!$J$6:$J$21,MATCH(AF5,'Cap based on indoor unit SZ'!$I$6:$I$21))</f>
        <v>13.078888888888891</v>
      </c>
      <c r="AT5" s="171"/>
      <c r="AU5" s="171"/>
      <c r="AV5" s="171"/>
      <c r="AW5" s="169">
        <f t="shared" ref="AW5:AW6" si="1">SUM(AX5:BB5)</f>
        <v>19</v>
      </c>
      <c r="AX5" s="170">
        <v>8.5</v>
      </c>
      <c r="AY5" s="170">
        <v>10.5</v>
      </c>
      <c r="AZ5" s="171"/>
      <c r="BA5" s="171"/>
      <c r="BB5" s="171"/>
      <c r="BC5" s="172">
        <f ca="1">SUM(BD5:BH5)</f>
        <v>20.764444444444454</v>
      </c>
      <c r="BD5" s="173">
        <f ca="1">(INDEX($AA$4:$AA$7,MATCH(AE5,$Z$4:$Z$7))*(INDEX($X$27:$X$46,MATCH($AD5,$W$27:$W$46,1))/(INDEX($AA$4:$AA$7,MATCH(AE5,$Z$4:$Z$7))+INDEX($AA$4:$AA$7,MATCH(AF5,$Z$4:$Z$7)))))</f>
        <v>8.8990476190476233</v>
      </c>
      <c r="BE5" s="173">
        <f ca="1">(INDEX($AA$4:$AA$7,MATCH(AF5,$Z$4:$Z$7))*(INDEX($X$27:$X$46,MATCH($AD5,$W$27:$W$46,1))/(INDEX($AA$4:$AA$7,MATCH(AE5,$Z$4:$Z$7))+INDEX($AA$4:$AA$7,MATCH(AF5,$Z$4:$Z$7)))))</f>
        <v>11.86539682539683</v>
      </c>
      <c r="BF5" s="174"/>
      <c r="BG5" s="174"/>
      <c r="BH5" s="174"/>
      <c r="BI5" s="166">
        <f ca="1">SUM(BJ5:BN5)</f>
        <v>22.199786324786331</v>
      </c>
      <c r="BJ5" s="167">
        <f ca="1">IF((INDEX($AA$4:$AA$7,MATCH(INDOOR_1,$Z$4:$Z$7))*(INDEX($X$118:$X$137,MATCH($AD5,$W$118:$W$137,1))/(INDEX($AA$4:$AA$7,MATCH(INDOOR_1,$Z$4:$Z$7))+INDEX($AA$4:$AA$7,MATCH(INDOOR_2,$Z$4:$Z$7)))))
&gt;BP5,BP5,
(INDEX($AA$4:$AA$7,MATCH(INDOOR_1,$Z$4:$Z$7))*(INDEX($X$118:$X$137,MATCH($AD5,$W$118:$W$137,1))/(INDEX($AA$4:$AA$7,MATCH(INDOOR_1,$Z$4:$Z$7))+INDEX($AA$4:$AA$7,MATCH(INDOOR_2,$Z$4:$Z$7))))))</f>
        <v>9.5141941391941423</v>
      </c>
      <c r="BK5" s="167">
        <f ca="1">IF((INDEX($AA$4:$AA$7,MATCH(INDOOR_2,$Z$4:$Z$7))*(INDEX($X$118:$X$137,MATCH($AD5,$W$118:$W$137,1))/(INDEX($AA$4:$AA$7,MATCH(INDOOR_1,$Z$4:$Z$7))+INDEX($AA$4:$AA$7,MATCH(INDOOR_2,$Z$4:$Z$7)))))
&gt;BQ5,BQ5,
(INDEX($AA$4:$AA$7,MATCH(INDOOR_2,$Z$4:$Z$7))*(INDEX($X$118:$X$137,MATCH($AD5,$W$118:$W$137,1))/(INDEX($AA$4:$AA$7,MATCH(INDOOR_1,$Z$4:$Z$7))+INDEX($AA$4:$AA$7,MATCH(INDOOR_2,$Z$4:$Z$7))))))</f>
        <v>12.685592185592188</v>
      </c>
      <c r="BL5" s="168"/>
      <c r="BM5" s="168"/>
      <c r="BN5" s="168"/>
      <c r="BO5" s="169">
        <f ca="1">SUM(BP5:BT5)</f>
        <v>26.901046153846153</v>
      </c>
      <c r="BP5" s="170">
        <f ca="1">INDEX('Cap based on indoor unit SZ'!$V$43:$V$58,MATCH(AE5,'Cap based on indoor unit SZ'!$U$43:$U$58))</f>
        <v>11.956020512820512</v>
      </c>
      <c r="BQ5" s="170">
        <f ca="1">INDEX('Cap based on indoor unit SZ'!$V$43:$V$58,MATCH(AF5,'Cap based on indoor unit SZ'!$U$43:$U$58))</f>
        <v>14.945025641025641</v>
      </c>
      <c r="BR5" s="171"/>
      <c r="BS5" s="171"/>
      <c r="BT5" s="171"/>
      <c r="BU5" s="175">
        <v>9000</v>
      </c>
      <c r="BV5" s="175">
        <v>11000</v>
      </c>
      <c r="BW5" s="171"/>
      <c r="BX5" s="171"/>
      <c r="BY5" s="171"/>
      <c r="BZ5" s="172">
        <f ca="1">SUM(CA5:CE5)</f>
        <v>22.199786324786331</v>
      </c>
      <c r="CA5" s="173">
        <f ca="1">(INDEX($AA$4:$AA$7,MATCH(INDOOR_1,$Z$4:$Z$7))*(INDEX($X$118:$X$137,MATCH($AD5,$W$118:$W$137,1))/(INDEX($AA$4:$AA$7,MATCH(INDOOR_1,$Z$4:$Z$7))+INDEX($AA$4:$AA$7,MATCH(INDOOR_2,$Z$4:$Z$7)))))</f>
        <v>9.5141941391941423</v>
      </c>
      <c r="CB5" s="173">
        <f ca="1">(INDEX($AA$4:$AA$7,MATCH(INDOOR_2,$Z$4:$Z$7))*(INDEX($X$118:$X$137,MATCH($AD5,$W$118:$W$137,1))/(INDEX($AA$4:$AA$7,MATCH(INDOOR_1,$Z$4:$Z$7))+INDEX($AA$4:$AA$7,MATCH(INDOOR_2,$Z$4:$Z$7)))))</f>
        <v>12.685592185592188</v>
      </c>
      <c r="CC5" s="174"/>
      <c r="CD5" s="174"/>
      <c r="CE5" s="174"/>
      <c r="CF5" s="166">
        <f ca="1">SUM(CG5:CK5)</f>
        <v>15.418225762243953</v>
      </c>
      <c r="CG5" s="167">
        <f t="shared" ca="1" si="0"/>
        <v>6.6078110409616944</v>
      </c>
      <c r="CH5" s="167">
        <f t="shared" ca="1" si="0"/>
        <v>8.8104147212822586</v>
      </c>
      <c r="CI5" s="168"/>
      <c r="CJ5" s="168"/>
      <c r="CK5" s="168"/>
    </row>
    <row r="6" spans="1:89">
      <c r="A6" s="4"/>
      <c r="Z6" s="295">
        <v>18</v>
      </c>
      <c r="AA6" s="296">
        <v>2</v>
      </c>
      <c r="AC6" s="164" t="s">
        <v>186</v>
      </c>
      <c r="AD6" s="164">
        <v>18</v>
      </c>
      <c r="AE6" s="165">
        <v>12</v>
      </c>
      <c r="AF6" s="165">
        <v>12</v>
      </c>
      <c r="AG6" s="165"/>
      <c r="AH6" s="164"/>
      <c r="AI6" s="164"/>
      <c r="AJ6" s="526"/>
      <c r="AK6" s="166">
        <f ca="1">SUM(AL6:AP6)</f>
        <v>20.764444444444454</v>
      </c>
      <c r="AL6" s="167">
        <f ca="1">IF((INDEX($AA$4:$AA$7,MATCH(INDOOR_1,$Z$4:$Z$7))*(INDEX($X$27:$X$46,MATCH($AD6,$W$27:$W$46,1))/(INDEX($AA$4:$AA$7,MATCH(INDOOR_1,$Z$4:$Z$7))+INDEX($AA$4:$AA$7,MATCH(INDOOR_2,$Z$4:$Z$7)))))
&gt;AR6,AR6,
(INDEX($AA$4:$AA$7,MATCH(INDOOR_1,$Z$4:$Z$7))*(INDEX($X$27:$X$46,MATCH($AD6,$W$27:$W$46,1))/(INDEX($AA$4:$AA$7,MATCH(INDOOR_1,$Z$4:$Z$7))+INDEX($AA$4:$AA$7,MATCH(INDOOR_2,$Z$4:$Z$7))))))</f>
        <v>10.382222222222227</v>
      </c>
      <c r="AM6" s="167">
        <f ca="1">IF((INDEX($AA$4:$AA$7,MATCH(INDOOR_2,$Z$4:$Z$7))*(INDEX($X$27:$X$46,MATCH($AD6,$W$27:$W$46,1))/(INDEX($AA$4:$AA$7,MATCH(INDOOR_1,$Z$4:$Z$7))+INDEX($AA$4:$AA$7,MATCH(INDOOR_2,$Z$4:$Z$7)))))
&gt;AS6,AS6,
(INDEX($AA$4:$AA$7,MATCH(INDOOR_2,$Z$4:$Z$7))*(INDEX($X$27:$X$46,MATCH($AD6,$W$27:$W$46,1))/(INDEX($AA$4:$AA$7,MATCH(INDOOR_1,$Z$4:$Z$7))+INDEX($AA$4:$AA$7,MATCH(INDOOR_2,$Z$4:$Z$7))))))</f>
        <v>10.382222222222227</v>
      </c>
      <c r="AN6" s="168"/>
      <c r="AO6" s="168"/>
      <c r="AP6" s="168"/>
      <c r="AQ6" s="169">
        <f ca="1">SUM(AR6:AV6)</f>
        <v>26.157777777777781</v>
      </c>
      <c r="AR6" s="170">
        <f ca="1">INDEX('Cap based on indoor unit SZ'!$J$6:$J$21,MATCH(AE6,'Cap based on indoor unit SZ'!$I$6:$I$21))</f>
        <v>13.078888888888891</v>
      </c>
      <c r="AS6" s="170">
        <f ca="1">INDEX('Cap based on indoor unit SZ'!$J$6:$J$21,MATCH(AF6,'Cap based on indoor unit SZ'!$I$6:$I$21))</f>
        <v>13.078888888888891</v>
      </c>
      <c r="AT6" s="171"/>
      <c r="AU6" s="171"/>
      <c r="AV6" s="171"/>
      <c r="AW6" s="169">
        <f t="shared" si="1"/>
        <v>19</v>
      </c>
      <c r="AX6" s="170">
        <v>9.5</v>
      </c>
      <c r="AY6" s="170">
        <v>9.5</v>
      </c>
      <c r="AZ6" s="171"/>
      <c r="BA6" s="171"/>
      <c r="BB6" s="171"/>
      <c r="BC6" s="172">
        <f ca="1">SUM(BD6:BH6)</f>
        <v>20.764444444444454</v>
      </c>
      <c r="BD6" s="173">
        <f ca="1">(INDEX($AA$4:$AA$7,MATCH(AE6,$Z$4:$Z$7))*(INDEX($X$27:$X$46,MATCH($AD6,$W$27:$W$46,1))/(INDEX($AA$4:$AA$7,MATCH(AE6,$Z$4:$Z$7))+INDEX($AA$4:$AA$7,MATCH(AF6,$Z$4:$Z$7)))))</f>
        <v>10.382222222222227</v>
      </c>
      <c r="BE6" s="173">
        <f ca="1">(INDEX($AA$4:$AA$7,MATCH(AF6,$Z$4:$Z$7))*(INDEX($X$27:$X$46,MATCH($AD6,$W$27:$W$46,1))/(INDEX($AA$4:$AA$7,MATCH(AE6,$Z$4:$Z$7))+INDEX($AA$4:$AA$7,MATCH(AF6,$Z$4:$Z$7)))))</f>
        <v>10.382222222222227</v>
      </c>
      <c r="BF6" s="174"/>
      <c r="BG6" s="174"/>
      <c r="BH6" s="174"/>
      <c r="BI6" s="166">
        <f ca="1">SUM(BJ6:BN6)</f>
        <v>22.199786324786331</v>
      </c>
      <c r="BJ6" s="167">
        <f ca="1">IF((INDEX($AA$4:$AA$7,MATCH(INDOOR_1,$Z$4:$Z$7))*(INDEX($X$118:$X$137,MATCH($AD6,$W$118:$W$137,1))/(INDEX($AA$4:$AA$7,MATCH(INDOOR_1,$Z$4:$Z$7))+INDEX($AA$4:$AA$7,MATCH(INDOOR_2,$Z$4:$Z$7)))))
&gt;BP6,BP6,
(INDEX($AA$4:$AA$7,MATCH(INDOOR_1,$Z$4:$Z$7))*(INDEX($X$118:$X$137,MATCH($AD6,$W$118:$W$137,1))/(INDEX($AA$4:$AA$7,MATCH(INDOOR_1,$Z$4:$Z$7))+INDEX($AA$4:$AA$7,MATCH(INDOOR_2,$Z$4:$Z$7))))))</f>
        <v>11.099893162393165</v>
      </c>
      <c r="BK6" s="167">
        <f ca="1">IF((INDEX($AA$4:$AA$7,MATCH(INDOOR_2,$Z$4:$Z$7))*(INDEX($X$118:$X$137,MATCH($AD6,$W$118:$W$137,1))/(INDEX($AA$4:$AA$7,MATCH(INDOOR_1,$Z$4:$Z$7))+INDEX($AA$4:$AA$7,MATCH(INDOOR_2,$Z$4:$Z$7)))))
&gt;BQ6,BQ6,
(INDEX($AA$4:$AA$7,MATCH(INDOOR_2,$Z$4:$Z$7))*(INDEX($X$118:$X$137,MATCH($AD6,$W$118:$W$137,1))/(INDEX($AA$4:$AA$7,MATCH(INDOOR_1,$Z$4:$Z$7))+INDEX($AA$4:$AA$7,MATCH(INDOOR_2,$Z$4:$Z$7))))))</f>
        <v>11.099893162393165</v>
      </c>
      <c r="BL6" s="168"/>
      <c r="BM6" s="168"/>
      <c r="BN6" s="168"/>
      <c r="BO6" s="169">
        <f ca="1">SUM(BP6:BT6)</f>
        <v>29.890051282051282</v>
      </c>
      <c r="BP6" s="170">
        <f ca="1">INDEX('Cap based on indoor unit SZ'!$V$43:$V$58,MATCH(AE6,'Cap based on indoor unit SZ'!$U$43:$U$58))</f>
        <v>14.945025641025641</v>
      </c>
      <c r="BQ6" s="170">
        <f ca="1">INDEX('Cap based on indoor unit SZ'!$V$43:$V$58,MATCH(AF6,'Cap based on indoor unit SZ'!$U$43:$U$58))</f>
        <v>14.945025641025641</v>
      </c>
      <c r="BR6" s="171"/>
      <c r="BS6" s="171"/>
      <c r="BT6" s="171"/>
      <c r="BU6" s="175">
        <v>10000</v>
      </c>
      <c r="BV6" s="175">
        <v>10000</v>
      </c>
      <c r="BW6" s="171"/>
      <c r="BX6" s="171"/>
      <c r="BY6" s="171"/>
      <c r="BZ6" s="172">
        <f ca="1">SUM(CA6:CE6)</f>
        <v>22.199786324786331</v>
      </c>
      <c r="CA6" s="173">
        <f ca="1">(INDEX($AA$4:$AA$7,MATCH(INDOOR_1,$Z$4:$Z$7))*(INDEX($X$118:$X$137,MATCH($AD6,$W$118:$W$137,1))/(INDEX($AA$4:$AA$7,MATCH(INDOOR_1,$Z$4:$Z$7))+INDEX($AA$4:$AA$7,MATCH(INDOOR_2,$Z$4:$Z$7)))))</f>
        <v>11.099893162393165</v>
      </c>
      <c r="CB6" s="173">
        <f ca="1">(INDEX($AA$4:$AA$7,MATCH(INDOOR_2,$Z$4:$Z$7))*(INDEX($X$118:$X$137,MATCH($AD6,$W$118:$W$137,1))/(INDEX($AA$4:$AA$7,MATCH(INDOOR_1,$Z$4:$Z$7))+INDEX($AA$4:$AA$7,MATCH(INDOOR_2,$Z$4:$Z$7)))))</f>
        <v>11.099893162393165</v>
      </c>
      <c r="CC6" s="174"/>
      <c r="CD6" s="174"/>
      <c r="CE6" s="174"/>
      <c r="CF6" s="166">
        <f ca="1">SUM(CG6:CK6)</f>
        <v>15.418225762243953</v>
      </c>
      <c r="CG6" s="167">
        <f t="shared" ca="1" si="0"/>
        <v>7.7091128811219765</v>
      </c>
      <c r="CH6" s="167">
        <f t="shared" ca="1" si="0"/>
        <v>7.7091128811219765</v>
      </c>
      <c r="CI6" s="168"/>
      <c r="CJ6" s="168"/>
      <c r="CK6" s="168"/>
    </row>
    <row r="7" spans="1:89">
      <c r="A7" s="4"/>
      <c r="Z7" s="295">
        <v>24</v>
      </c>
      <c r="AA7" s="296">
        <f>8/3</f>
        <v>2.6666666666666665</v>
      </c>
      <c r="AC7" s="160" t="s">
        <v>46</v>
      </c>
      <c r="AD7" s="160">
        <v>24</v>
      </c>
      <c r="AE7" s="160"/>
      <c r="AF7" s="160"/>
      <c r="AG7" s="160"/>
      <c r="AH7" s="160"/>
      <c r="AI7" s="160"/>
      <c r="AJ7" s="176"/>
      <c r="AK7" s="166"/>
      <c r="AL7" s="272" t="s">
        <v>60</v>
      </c>
      <c r="AM7" s="272" t="s">
        <v>61</v>
      </c>
      <c r="AN7" s="272" t="s">
        <v>62</v>
      </c>
      <c r="AO7" s="272" t="s">
        <v>63</v>
      </c>
      <c r="AP7" s="272" t="s">
        <v>64</v>
      </c>
      <c r="AQ7" s="169"/>
      <c r="AR7" s="160" t="s">
        <v>60</v>
      </c>
      <c r="AS7" s="160" t="s">
        <v>61</v>
      </c>
      <c r="AT7" s="160" t="s">
        <v>62</v>
      </c>
      <c r="AU7" s="160" t="s">
        <v>63</v>
      </c>
      <c r="AV7" s="160" t="s">
        <v>64</v>
      </c>
      <c r="AW7" s="169"/>
      <c r="AX7" s="160" t="s">
        <v>60</v>
      </c>
      <c r="AY7" s="160" t="s">
        <v>61</v>
      </c>
      <c r="AZ7" s="160" t="s">
        <v>62</v>
      </c>
      <c r="BA7" s="160" t="s">
        <v>63</v>
      </c>
      <c r="BB7" s="160" t="s">
        <v>64</v>
      </c>
      <c r="BC7" s="172"/>
      <c r="BD7" s="274" t="s">
        <v>60</v>
      </c>
      <c r="BE7" s="274" t="s">
        <v>61</v>
      </c>
      <c r="BF7" s="274" t="s">
        <v>62</v>
      </c>
      <c r="BG7" s="274" t="s">
        <v>63</v>
      </c>
      <c r="BH7" s="274" t="s">
        <v>64</v>
      </c>
      <c r="BI7" s="166"/>
      <c r="BJ7" s="272" t="s">
        <v>60</v>
      </c>
      <c r="BK7" s="272" t="s">
        <v>61</v>
      </c>
      <c r="BL7" s="272" t="s">
        <v>62</v>
      </c>
      <c r="BM7" s="272" t="s">
        <v>63</v>
      </c>
      <c r="BN7" s="272" t="s">
        <v>64</v>
      </c>
      <c r="BO7" s="169"/>
      <c r="BP7" s="160" t="s">
        <v>60</v>
      </c>
      <c r="BQ7" s="160" t="s">
        <v>61</v>
      </c>
      <c r="BR7" s="160" t="s">
        <v>62</v>
      </c>
      <c r="BS7" s="160" t="s">
        <v>63</v>
      </c>
      <c r="BT7" s="160" t="s">
        <v>64</v>
      </c>
      <c r="BU7" s="160" t="s">
        <v>60</v>
      </c>
      <c r="BV7" s="160" t="s">
        <v>61</v>
      </c>
      <c r="BW7" s="160" t="s">
        <v>62</v>
      </c>
      <c r="BX7" s="160" t="s">
        <v>63</v>
      </c>
      <c r="BY7" s="160" t="s">
        <v>64</v>
      </c>
      <c r="BZ7" s="172"/>
      <c r="CA7" s="274" t="s">
        <v>60</v>
      </c>
      <c r="CB7" s="274" t="s">
        <v>61</v>
      </c>
      <c r="CC7" s="274" t="s">
        <v>62</v>
      </c>
      <c r="CD7" s="274" t="s">
        <v>63</v>
      </c>
      <c r="CE7" s="274" t="s">
        <v>64</v>
      </c>
      <c r="CF7" s="166"/>
      <c r="CG7" s="272" t="s">
        <v>60</v>
      </c>
      <c r="CH7" s="272" t="s">
        <v>61</v>
      </c>
      <c r="CI7" s="272" t="s">
        <v>62</v>
      </c>
      <c r="CJ7" s="272" t="s">
        <v>63</v>
      </c>
      <c r="CK7" s="272" t="s">
        <v>64</v>
      </c>
    </row>
    <row r="8" spans="1:89">
      <c r="A8" s="4"/>
      <c r="AC8" s="164" t="s">
        <v>230</v>
      </c>
      <c r="AD8" s="164">
        <v>24</v>
      </c>
      <c r="AE8" s="165">
        <v>9</v>
      </c>
      <c r="AF8" s="165">
        <v>9</v>
      </c>
      <c r="AG8" s="165"/>
      <c r="AH8" s="164"/>
      <c r="AI8" s="164"/>
      <c r="AJ8" s="522">
        <v>2</v>
      </c>
      <c r="AK8" s="166">
        <f t="shared" ref="AK8:AK18" ca="1" si="2">SUM(AL8:AP8)</f>
        <v>20.926222222222222</v>
      </c>
      <c r="AL8" s="167">
        <f t="shared" ref="AL8:AL13" ca="1" si="3">IF((INDEX($AA$4:$AA$7,MATCH(INDOOR_1,$Z$4:$Z$7))*(INDEX($X$27:$X$46,MATCH($AD8,$W$27:$W$46,1))/(INDEX($AA$4:$AA$7,MATCH(INDOOR_1,$Z$4:$Z$7))+INDEX($AA$4:$AA$7,MATCH(INDOOR_2,$Z$4:$Z$7)))))
&gt;AR8,AR8,
(INDEX($AA$4:$AA$7,MATCH(INDOOR_1,$Z$4:$Z$7))*(INDEX($X$27:$X$46,MATCH($AD8,$W$27:$W$46,1))/(INDEX($AA$4:$AA$7,MATCH(INDOOR_1,$Z$4:$Z$7))+INDEX($AA$4:$AA$7,MATCH(INDOOR_2,$Z$4:$Z$7))))))</f>
        <v>10.463111111111111</v>
      </c>
      <c r="AM8" s="167">
        <f t="shared" ref="AM8:AM13" ca="1" si="4">IF((INDEX($AA$4:$AA$7,MATCH(INDOOR_2,$Z$4:$Z$7))*(INDEX($X$27:$X$46,MATCH($AD8,$W$27:$W$46,1))/(INDEX($AA$4:$AA$7,MATCH(INDOOR_1,$Z$4:$Z$7))+INDEX($AA$4:$AA$7,MATCH(INDOOR_2,$Z$4:$Z$7)))))
&gt;AS8,AS8,
(INDEX($AA$4:$AA$7,MATCH(INDOOR_2,$Z$4:$Z$7))*(INDEX($X$27:$X$46,MATCH($AD8,$W$27:$W$46,1))/(INDEX($AA$4:$AA$7,MATCH(INDOOR_1,$Z$4:$Z$7))+INDEX($AA$4:$AA$7,MATCH(INDOOR_2,$Z$4:$Z$7))))))</f>
        <v>10.463111111111111</v>
      </c>
      <c r="AN8" s="168"/>
      <c r="AO8" s="168"/>
      <c r="AP8" s="168"/>
      <c r="AQ8" s="169">
        <f t="shared" ref="AQ8:AQ18" ca="1" si="5">SUM(AR8:AV8)</f>
        <v>20.926222222222222</v>
      </c>
      <c r="AR8" s="170">
        <f ca="1">INDEX('Cap based on indoor unit SZ'!$J$6:$J$21,MATCH(AE8,'Cap based on indoor unit SZ'!$I$6:$I$21))</f>
        <v>10.463111111111111</v>
      </c>
      <c r="AS8" s="170">
        <f ca="1">INDEX('Cap based on indoor unit SZ'!$J$6:$J$21,MATCH(AF8,'Cap based on indoor unit SZ'!$I$6:$I$21))</f>
        <v>10.463111111111111</v>
      </c>
      <c r="AT8" s="171"/>
      <c r="AU8" s="171"/>
      <c r="AV8" s="171"/>
      <c r="AW8" s="169">
        <f t="shared" ref="AW8:AW18" si="6">SUM(AX8:BB8)</f>
        <v>19</v>
      </c>
      <c r="AX8" s="170">
        <v>9.5</v>
      </c>
      <c r="AY8" s="170">
        <v>9.5</v>
      </c>
      <c r="AZ8" s="171"/>
      <c r="BA8" s="171"/>
      <c r="BB8" s="171"/>
      <c r="BC8" s="172">
        <f t="shared" ref="BC8:BC18" ca="1" si="7">SUM(BD8:BH8)</f>
        <v>30.479444444444454</v>
      </c>
      <c r="BD8" s="173">
        <f t="shared" ref="BD8:BD13" ca="1" si="8">(INDEX($AA$4:$AA$7,MATCH(AE8,$Z$4:$Z$7))*(INDEX($X$27:$X$46,MATCH($AD8,$W$27:$W$46,1))/(INDEX($AA$4:$AA$7,MATCH(AE8,$Z$4:$Z$7))+INDEX($AA$4:$AA$7,MATCH(AF8,$Z$4:$Z$7)))))</f>
        <v>15.239722222222227</v>
      </c>
      <c r="BE8" s="173">
        <f t="shared" ref="BE8:BE13" ca="1" si="9">(INDEX($AA$4:$AA$7,MATCH(AF8,$Z$4:$Z$7))*(INDEX($X$27:$X$46,MATCH($AD8,$W$27:$W$46,1))/(INDEX($AA$4:$AA$7,MATCH(AE8,$Z$4:$Z$7))+INDEX($AA$4:$AA$7,MATCH(AF8,$Z$4:$Z$7)))))</f>
        <v>15.239722222222227</v>
      </c>
      <c r="BF8" s="174"/>
      <c r="BG8" s="174"/>
      <c r="BH8" s="174"/>
      <c r="BI8" s="166">
        <f t="shared" ref="BI8:BI18" ca="1" si="10">SUM(BJ8:BN8)</f>
        <v>23.912041025641024</v>
      </c>
      <c r="BJ8" s="167">
        <f t="shared" ref="BJ8:BJ13" ca="1" si="11">IF((INDEX($AA$4:$AA$7,MATCH(INDOOR_1,$Z$4:$Z$7))*(INDEX($X$118:$X$137,MATCH($AD8,$W$118:$W$137,1))/(INDEX($AA$4:$AA$7,MATCH(INDOOR_1,$Z$4:$Z$7))+INDEX($AA$4:$AA$7,MATCH(INDOOR_2,$Z$4:$Z$7)))))
&gt;BP8,BP8,
(INDEX($AA$4:$AA$7,MATCH(INDOOR_1,$Z$4:$Z$7))*(INDEX($X$118:$X$137,MATCH($AD8,$W$118:$W$137,1))/(INDEX($AA$4:$AA$7,MATCH(INDOOR_1,$Z$4:$Z$7))+INDEX($AA$4:$AA$7,MATCH(INDOOR_2,$Z$4:$Z$7))))))</f>
        <v>11.956020512820512</v>
      </c>
      <c r="BK8" s="167">
        <f t="shared" ref="BK8:BK13" ca="1" si="12">IF((INDEX($AA$4:$AA$7,MATCH(INDOOR_2,$Z$4:$Z$7))*(INDEX($X$118:$X$137,MATCH($AD8,$W$118:$W$137,1))/(INDEX($AA$4:$AA$7,MATCH(INDOOR_1,$Z$4:$Z$7))+INDEX($AA$4:$AA$7,MATCH(INDOOR_2,$Z$4:$Z$7)))))
&gt;BQ8,BQ8,
(INDEX($AA$4:$AA$7,MATCH(INDOOR_2,$Z$4:$Z$7))*(INDEX($X$118:$X$137,MATCH($AD8,$W$118:$W$137,1))/(INDEX($AA$4:$AA$7,MATCH(INDOOR_1,$Z$4:$Z$7))+INDEX($AA$4:$AA$7,MATCH(INDOOR_2,$Z$4:$Z$7))))))</f>
        <v>11.956020512820512</v>
      </c>
      <c r="BL8" s="168"/>
      <c r="BM8" s="168"/>
      <c r="BN8" s="168"/>
      <c r="BO8" s="169">
        <f t="shared" ref="BO8:BO18" ca="1" si="13">SUM(BP8:BT8)</f>
        <v>23.912041025641024</v>
      </c>
      <c r="BP8" s="170">
        <f ca="1">INDEX('Cap based on indoor unit SZ'!$V$43:$V$58,MATCH(AE8,'Cap based on indoor unit SZ'!$U$43:$U$58))</f>
        <v>11.956020512820512</v>
      </c>
      <c r="BQ8" s="170">
        <f ca="1">INDEX('Cap based on indoor unit SZ'!$V$43:$V$58,MATCH(AF8,'Cap based on indoor unit SZ'!$U$43:$U$58))</f>
        <v>11.956020512820512</v>
      </c>
      <c r="BR8" s="171"/>
      <c r="BS8" s="171"/>
      <c r="BT8" s="171"/>
      <c r="BU8" s="175">
        <v>10000</v>
      </c>
      <c r="BV8" s="175">
        <v>10000</v>
      </c>
      <c r="BW8" s="171"/>
      <c r="BX8" s="171"/>
      <c r="BY8" s="171"/>
      <c r="BZ8" s="172">
        <f t="shared" ref="BZ8:BZ18" ca="1" si="14">SUM(CA8:CE8)</f>
        <v>35.986393162393163</v>
      </c>
      <c r="CA8" s="173">
        <f t="shared" ref="CA8:CA13" ca="1" si="15">(INDEX($AA$4:$AA$7,MATCH(INDOOR_1,$Z$4:$Z$7))*(INDEX($X$118:$X$137,MATCH($AD8,$W$118:$W$137,1))/(INDEX($AA$4:$AA$7,MATCH(INDOOR_1,$Z$4:$Z$7))+INDEX($AA$4:$AA$7,MATCH(INDOOR_2,$Z$4:$Z$7)))))</f>
        <v>17.993196581196582</v>
      </c>
      <c r="CB8" s="173">
        <f t="shared" ref="CB8:CB13" ca="1" si="16">(INDEX($AA$4:$AA$7,MATCH(INDOOR_2,$Z$4:$Z$7))*(INDEX($X$118:$X$137,MATCH($AD8,$W$118:$W$137,1))/(INDEX($AA$4:$AA$7,MATCH(INDOOR_1,$Z$4:$Z$7))+INDEX($AA$4:$AA$7,MATCH(INDOOR_2,$Z$4:$Z$7)))))</f>
        <v>17.993196581196582</v>
      </c>
      <c r="CC8" s="174"/>
      <c r="CD8" s="174"/>
      <c r="CE8" s="174"/>
      <c r="CF8" s="166">
        <f t="shared" ref="CF8:CF18" ca="1" si="17">SUM(CG8:CK8)</f>
        <v>15.923708218870376</v>
      </c>
      <c r="CG8" s="167">
        <f t="shared" ref="CG8:CH18" ca="1" si="18">AL8*(INDEX($X$67:$X$86,MATCH($AD8,$W$67:$W$86,1)))</f>
        <v>7.9618541094351878</v>
      </c>
      <c r="CH8" s="167">
        <f t="shared" ca="1" si="18"/>
        <v>7.9618541094351878</v>
      </c>
      <c r="CI8" s="168"/>
      <c r="CJ8" s="168"/>
      <c r="CK8" s="168"/>
    </row>
    <row r="9" spans="1:89">
      <c r="A9" s="4"/>
      <c r="AC9" s="164" t="s">
        <v>228</v>
      </c>
      <c r="AD9" s="164">
        <v>24</v>
      </c>
      <c r="AE9" s="165">
        <v>9</v>
      </c>
      <c r="AF9" s="165">
        <v>12</v>
      </c>
      <c r="AG9" s="165"/>
      <c r="AH9" s="164"/>
      <c r="AI9" s="164"/>
      <c r="AJ9" s="523"/>
      <c r="AK9" s="166">
        <f t="shared" ca="1" si="2"/>
        <v>23.542000000000002</v>
      </c>
      <c r="AL9" s="167">
        <f t="shared" ca="1" si="3"/>
        <v>10.463111111111111</v>
      </c>
      <c r="AM9" s="167">
        <f t="shared" ca="1" si="4"/>
        <v>13.078888888888891</v>
      </c>
      <c r="AN9" s="168"/>
      <c r="AO9" s="168"/>
      <c r="AP9" s="168"/>
      <c r="AQ9" s="169">
        <f t="shared" ca="1" si="5"/>
        <v>23.542000000000002</v>
      </c>
      <c r="AR9" s="170">
        <f ca="1">INDEX('Cap based on indoor unit SZ'!$J$6:$J$21,MATCH(AE9,'Cap based on indoor unit SZ'!$I$6:$I$21))</f>
        <v>10.463111111111111</v>
      </c>
      <c r="AS9" s="170">
        <f ca="1">INDEX('Cap based on indoor unit SZ'!$J$6:$J$21,MATCH(AF9,'Cap based on indoor unit SZ'!$I$6:$I$21))</f>
        <v>13.078888888888891</v>
      </c>
      <c r="AT9" s="171"/>
      <c r="AU9" s="171"/>
      <c r="AV9" s="171"/>
      <c r="AW9" s="169">
        <f t="shared" si="6"/>
        <v>21.5</v>
      </c>
      <c r="AX9" s="170">
        <v>9.5</v>
      </c>
      <c r="AY9" s="170">
        <v>12</v>
      </c>
      <c r="AZ9" s="171"/>
      <c r="BA9" s="171"/>
      <c r="BB9" s="171"/>
      <c r="BC9" s="172">
        <f t="shared" ca="1" si="7"/>
        <v>30.479444444444454</v>
      </c>
      <c r="BD9" s="173">
        <f t="shared" ca="1" si="8"/>
        <v>13.062619047619053</v>
      </c>
      <c r="BE9" s="173">
        <f t="shared" ca="1" si="9"/>
        <v>17.416825396825402</v>
      </c>
      <c r="BF9" s="174"/>
      <c r="BG9" s="174"/>
      <c r="BH9" s="174"/>
      <c r="BI9" s="166">
        <f t="shared" ca="1" si="10"/>
        <v>26.901046153846153</v>
      </c>
      <c r="BJ9" s="167">
        <f t="shared" ca="1" si="11"/>
        <v>11.956020512820512</v>
      </c>
      <c r="BK9" s="167">
        <f t="shared" ca="1" si="12"/>
        <v>14.945025641025641</v>
      </c>
      <c r="BL9" s="168"/>
      <c r="BM9" s="168"/>
      <c r="BN9" s="168"/>
      <c r="BO9" s="169">
        <f t="shared" ca="1" si="13"/>
        <v>26.901046153846153</v>
      </c>
      <c r="BP9" s="170">
        <f ca="1">INDEX('Cap based on indoor unit SZ'!$V$43:$V$58,MATCH(AE9,'Cap based on indoor unit SZ'!$U$43:$U$58))</f>
        <v>11.956020512820512</v>
      </c>
      <c r="BQ9" s="170">
        <f ca="1">INDEX('Cap based on indoor unit SZ'!$V$43:$V$58,MATCH(AF9,'Cap based on indoor unit SZ'!$U$43:$U$58))</f>
        <v>14.945025641025641</v>
      </c>
      <c r="BR9" s="171"/>
      <c r="BS9" s="171"/>
      <c r="BT9" s="171"/>
      <c r="BU9" s="175">
        <v>10000</v>
      </c>
      <c r="BV9" s="175">
        <v>13000</v>
      </c>
      <c r="BW9" s="171"/>
      <c r="BX9" s="171"/>
      <c r="BY9" s="171"/>
      <c r="BZ9" s="172">
        <f t="shared" ca="1" si="14"/>
        <v>35.986393162393171</v>
      </c>
      <c r="CA9" s="173">
        <f t="shared" ca="1" si="15"/>
        <v>15.422739926739929</v>
      </c>
      <c r="CB9" s="173">
        <f t="shared" ca="1" si="16"/>
        <v>20.563653235653238</v>
      </c>
      <c r="CC9" s="174"/>
      <c r="CD9" s="174"/>
      <c r="CE9" s="174"/>
      <c r="CF9" s="166">
        <f t="shared" ca="1" si="17"/>
        <v>17.914171746229172</v>
      </c>
      <c r="CG9" s="167">
        <f t="shared" ca="1" si="18"/>
        <v>7.9618541094351878</v>
      </c>
      <c r="CH9" s="167">
        <f t="shared" ca="1" si="18"/>
        <v>9.9523176367939854</v>
      </c>
      <c r="CI9" s="168"/>
      <c r="CJ9" s="168"/>
      <c r="CK9" s="168"/>
    </row>
    <row r="10" spans="1:89">
      <c r="A10" s="4"/>
      <c r="AC10" s="164" t="s">
        <v>188</v>
      </c>
      <c r="AD10" s="164">
        <v>24</v>
      </c>
      <c r="AE10" s="165">
        <v>9</v>
      </c>
      <c r="AF10" s="165">
        <v>18</v>
      </c>
      <c r="AG10" s="165"/>
      <c r="AH10" s="164"/>
      <c r="AI10" s="164"/>
      <c r="AJ10" s="523"/>
      <c r="AK10" s="166">
        <f t="shared" ca="1" si="2"/>
        <v>29.980925925925931</v>
      </c>
      <c r="AL10" s="167">
        <f t="shared" ca="1" si="3"/>
        <v>10.159814814814817</v>
      </c>
      <c r="AM10" s="167">
        <f t="shared" ca="1" si="4"/>
        <v>19.821111111111112</v>
      </c>
      <c r="AN10" s="168"/>
      <c r="AO10" s="168"/>
      <c r="AP10" s="168"/>
      <c r="AQ10" s="169">
        <f t="shared" ca="1" si="5"/>
        <v>30.284222222222223</v>
      </c>
      <c r="AR10" s="170">
        <f ca="1">INDEX('Cap based on indoor unit SZ'!$J$6:$J$21,MATCH(AE10,'Cap based on indoor unit SZ'!$I$6:$I$21))</f>
        <v>10.463111111111111</v>
      </c>
      <c r="AS10" s="170">
        <f ca="1">INDEX('Cap based on indoor unit SZ'!$J$6:$J$21,MATCH(AF10,'Cap based on indoor unit SZ'!$I$6:$I$21))</f>
        <v>19.821111111111112</v>
      </c>
      <c r="AT10" s="171"/>
      <c r="AU10" s="171"/>
      <c r="AV10" s="171"/>
      <c r="AW10" s="169">
        <f t="shared" si="6"/>
        <v>25</v>
      </c>
      <c r="AX10" s="170">
        <v>8.4</v>
      </c>
      <c r="AY10" s="170">
        <v>16.600000000000001</v>
      </c>
      <c r="AZ10" s="171"/>
      <c r="BA10" s="171"/>
      <c r="BB10" s="171"/>
      <c r="BC10" s="172">
        <f t="shared" ca="1" si="7"/>
        <v>30.479444444444454</v>
      </c>
      <c r="BD10" s="173">
        <f t="shared" ca="1" si="8"/>
        <v>10.159814814814817</v>
      </c>
      <c r="BE10" s="173">
        <f t="shared" ca="1" si="9"/>
        <v>20.319629629629635</v>
      </c>
      <c r="BF10" s="174"/>
      <c r="BG10" s="174"/>
      <c r="BH10" s="174"/>
      <c r="BI10" s="166">
        <f t="shared" ca="1" si="10"/>
        <v>35.946949287749291</v>
      </c>
      <c r="BJ10" s="167">
        <f t="shared" ca="1" si="11"/>
        <v>11.956020512820512</v>
      </c>
      <c r="BK10" s="167">
        <f t="shared" ca="1" si="12"/>
        <v>23.990928774928776</v>
      </c>
      <c r="BL10" s="168"/>
      <c r="BM10" s="168"/>
      <c r="BN10" s="168"/>
      <c r="BO10" s="169">
        <f t="shared" ca="1" si="13"/>
        <v>36.554841025641025</v>
      </c>
      <c r="BP10" s="170">
        <f ca="1">INDEX('Cap based on indoor unit SZ'!$V$43:$V$58,MATCH(AE10,'Cap based on indoor unit SZ'!$U$43:$U$58))</f>
        <v>11.956020512820512</v>
      </c>
      <c r="BQ10" s="170">
        <f ca="1">INDEX('Cap based on indoor unit SZ'!$V$43:$V$58,MATCH(AF10,'Cap based on indoor unit SZ'!$U$43:$U$58))</f>
        <v>24.598820512820513</v>
      </c>
      <c r="BR10" s="171"/>
      <c r="BS10" s="171"/>
      <c r="BT10" s="171"/>
      <c r="BU10" s="175">
        <v>9000</v>
      </c>
      <c r="BV10" s="175">
        <v>18000</v>
      </c>
      <c r="BW10" s="171"/>
      <c r="BX10" s="171"/>
      <c r="BY10" s="171"/>
      <c r="BZ10" s="172">
        <f t="shared" ca="1" si="14"/>
        <v>35.986393162393163</v>
      </c>
      <c r="CA10" s="173">
        <f t="shared" ca="1" si="15"/>
        <v>11.995464387464388</v>
      </c>
      <c r="CB10" s="173">
        <f t="shared" ca="1" si="16"/>
        <v>23.990928774928776</v>
      </c>
      <c r="CC10" s="174"/>
      <c r="CD10" s="174"/>
      <c r="CE10" s="174"/>
      <c r="CF10" s="166">
        <f t="shared" ca="1" si="17"/>
        <v>22.81384148109812</v>
      </c>
      <c r="CG10" s="167">
        <f t="shared" ca="1" si="18"/>
        <v>7.7310622505511919</v>
      </c>
      <c r="CH10" s="167">
        <f t="shared" ca="1" si="18"/>
        <v>15.082779230546928</v>
      </c>
      <c r="CI10" s="168"/>
      <c r="CJ10" s="168"/>
      <c r="CK10" s="168"/>
    </row>
    <row r="11" spans="1:89">
      <c r="A11" s="4"/>
      <c r="AC11" s="164" t="s">
        <v>186</v>
      </c>
      <c r="AD11" s="164">
        <v>24</v>
      </c>
      <c r="AE11" s="165">
        <v>12</v>
      </c>
      <c r="AF11" s="165">
        <v>12</v>
      </c>
      <c r="AG11" s="165"/>
      <c r="AH11" s="164"/>
      <c r="AI11" s="164"/>
      <c r="AJ11" s="523"/>
      <c r="AK11" s="166">
        <f t="shared" ca="1" si="2"/>
        <v>26.157777777777781</v>
      </c>
      <c r="AL11" s="167">
        <f t="shared" ca="1" si="3"/>
        <v>13.078888888888891</v>
      </c>
      <c r="AM11" s="167">
        <f t="shared" ca="1" si="4"/>
        <v>13.078888888888891</v>
      </c>
      <c r="AN11" s="168"/>
      <c r="AO11" s="168"/>
      <c r="AP11" s="168"/>
      <c r="AQ11" s="169">
        <f t="shared" ca="1" si="5"/>
        <v>26.157777777777781</v>
      </c>
      <c r="AR11" s="170">
        <f ca="1">INDEX('Cap based on indoor unit SZ'!$J$6:$J$21,MATCH(AE11,'Cap based on indoor unit SZ'!$I$6:$I$21))</f>
        <v>13.078888888888891</v>
      </c>
      <c r="AS11" s="170">
        <f ca="1">INDEX('Cap based on indoor unit SZ'!$J$6:$J$21,MATCH(AF11,'Cap based on indoor unit SZ'!$I$6:$I$21))</f>
        <v>13.078888888888891</v>
      </c>
      <c r="AT11" s="171"/>
      <c r="AU11" s="171"/>
      <c r="AV11" s="171"/>
      <c r="AW11" s="169">
        <f t="shared" si="6"/>
        <v>24</v>
      </c>
      <c r="AX11" s="170">
        <v>12</v>
      </c>
      <c r="AY11" s="170">
        <v>12</v>
      </c>
      <c r="AZ11" s="171"/>
      <c r="BA11" s="171"/>
      <c r="BB11" s="171"/>
      <c r="BC11" s="172">
        <f t="shared" ca="1" si="7"/>
        <v>30.479444444444454</v>
      </c>
      <c r="BD11" s="173">
        <f t="shared" ca="1" si="8"/>
        <v>15.239722222222227</v>
      </c>
      <c r="BE11" s="173">
        <f t="shared" ca="1" si="9"/>
        <v>15.239722222222227</v>
      </c>
      <c r="BF11" s="174"/>
      <c r="BG11" s="174"/>
      <c r="BH11" s="174"/>
      <c r="BI11" s="166">
        <f t="shared" ca="1" si="10"/>
        <v>29.890051282051282</v>
      </c>
      <c r="BJ11" s="167">
        <f t="shared" ca="1" si="11"/>
        <v>14.945025641025641</v>
      </c>
      <c r="BK11" s="167">
        <f t="shared" ca="1" si="12"/>
        <v>14.945025641025641</v>
      </c>
      <c r="BL11" s="168"/>
      <c r="BM11" s="168"/>
      <c r="BN11" s="168"/>
      <c r="BO11" s="169">
        <f t="shared" ca="1" si="13"/>
        <v>29.890051282051282</v>
      </c>
      <c r="BP11" s="170">
        <f ca="1">INDEX('Cap based on indoor unit SZ'!$V$43:$V$58,MATCH(AE11,'Cap based on indoor unit SZ'!$U$43:$U$58))</f>
        <v>14.945025641025641</v>
      </c>
      <c r="BQ11" s="170">
        <f ca="1">INDEX('Cap based on indoor unit SZ'!$V$43:$V$58,MATCH(AF11,'Cap based on indoor unit SZ'!$U$43:$U$58))</f>
        <v>14.945025641025641</v>
      </c>
      <c r="BR11" s="171"/>
      <c r="BS11" s="171"/>
      <c r="BT11" s="171"/>
      <c r="BU11" s="175">
        <v>13000</v>
      </c>
      <c r="BV11" s="175">
        <v>13000</v>
      </c>
      <c r="BW11" s="171"/>
      <c r="BX11" s="171"/>
      <c r="BY11" s="171"/>
      <c r="BZ11" s="172">
        <f t="shared" ca="1" si="14"/>
        <v>35.986393162393163</v>
      </c>
      <c r="CA11" s="173">
        <f t="shared" ca="1" si="15"/>
        <v>17.993196581196582</v>
      </c>
      <c r="CB11" s="173">
        <f t="shared" ca="1" si="16"/>
        <v>17.993196581196582</v>
      </c>
      <c r="CC11" s="174"/>
      <c r="CD11" s="174"/>
      <c r="CE11" s="174"/>
      <c r="CF11" s="166">
        <f t="shared" ca="1" si="17"/>
        <v>19.904635273587971</v>
      </c>
      <c r="CG11" s="167">
        <f t="shared" ca="1" si="18"/>
        <v>9.9523176367939854</v>
      </c>
      <c r="CH11" s="167">
        <f t="shared" ca="1" si="18"/>
        <v>9.9523176367939854</v>
      </c>
      <c r="CI11" s="168"/>
      <c r="CJ11" s="168"/>
      <c r="CK11" s="168"/>
    </row>
    <row r="12" spans="1:89">
      <c r="A12" s="4"/>
      <c r="AC12" s="164" t="s">
        <v>185</v>
      </c>
      <c r="AD12" s="164">
        <v>24</v>
      </c>
      <c r="AE12" s="165">
        <v>12</v>
      </c>
      <c r="AF12" s="165">
        <v>18</v>
      </c>
      <c r="AG12" s="165"/>
      <c r="AH12" s="164"/>
      <c r="AI12" s="164"/>
      <c r="AJ12" s="523"/>
      <c r="AK12" s="166">
        <f t="shared" ca="1" si="2"/>
        <v>30.479444444444454</v>
      </c>
      <c r="AL12" s="167">
        <f t="shared" ca="1" si="3"/>
        <v>12.191777777777782</v>
      </c>
      <c r="AM12" s="167">
        <f t="shared" ca="1" si="4"/>
        <v>18.287666666666674</v>
      </c>
      <c r="AN12" s="168"/>
      <c r="AO12" s="168"/>
      <c r="AP12" s="168"/>
      <c r="AQ12" s="169">
        <f t="shared" ca="1" si="5"/>
        <v>32.900000000000006</v>
      </c>
      <c r="AR12" s="170">
        <f ca="1">INDEX('Cap based on indoor unit SZ'!$J$6:$J$21,MATCH(AE12,'Cap based on indoor unit SZ'!$I$6:$I$21))</f>
        <v>13.078888888888891</v>
      </c>
      <c r="AS12" s="170">
        <f ca="1">INDEX('Cap based on indoor unit SZ'!$J$6:$J$21,MATCH(AF12,'Cap based on indoor unit SZ'!$I$6:$I$21))</f>
        <v>19.821111111111112</v>
      </c>
      <c r="AT12" s="171"/>
      <c r="AU12" s="171"/>
      <c r="AV12" s="171"/>
      <c r="AW12" s="169">
        <f t="shared" si="6"/>
        <v>26</v>
      </c>
      <c r="AX12" s="170">
        <v>10</v>
      </c>
      <c r="AY12" s="170">
        <v>16</v>
      </c>
      <c r="AZ12" s="171"/>
      <c r="BA12" s="171"/>
      <c r="BB12" s="171"/>
      <c r="BC12" s="172">
        <f t="shared" ca="1" si="7"/>
        <v>30.479444444444454</v>
      </c>
      <c r="BD12" s="173">
        <f t="shared" ca="1" si="8"/>
        <v>12.191777777777782</v>
      </c>
      <c r="BE12" s="173">
        <f t="shared" ca="1" si="9"/>
        <v>18.287666666666674</v>
      </c>
      <c r="BF12" s="174"/>
      <c r="BG12" s="174"/>
      <c r="BH12" s="174"/>
      <c r="BI12" s="166">
        <f t="shared" ca="1" si="10"/>
        <v>35.986393162393163</v>
      </c>
      <c r="BJ12" s="167">
        <f t="shared" ca="1" si="11"/>
        <v>14.394557264957266</v>
      </c>
      <c r="BK12" s="167">
        <f t="shared" ca="1" si="12"/>
        <v>21.591835897435899</v>
      </c>
      <c r="BL12" s="168"/>
      <c r="BM12" s="168"/>
      <c r="BN12" s="168"/>
      <c r="BO12" s="169">
        <f t="shared" ca="1" si="13"/>
        <v>39.543846153846154</v>
      </c>
      <c r="BP12" s="170">
        <f ca="1">INDEX('Cap based on indoor unit SZ'!$V$43:$V$58,MATCH(AE12,'Cap based on indoor unit SZ'!$U$43:$U$58))</f>
        <v>14.945025641025641</v>
      </c>
      <c r="BQ12" s="170">
        <f ca="1">INDEX('Cap based on indoor unit SZ'!$V$43:$V$58,MATCH(AF12,'Cap based on indoor unit SZ'!$U$43:$U$58))</f>
        <v>24.598820512820513</v>
      </c>
      <c r="BR12" s="171"/>
      <c r="BS12" s="171"/>
      <c r="BT12" s="171"/>
      <c r="BU12" s="175">
        <v>11200</v>
      </c>
      <c r="BV12" s="175">
        <v>16800</v>
      </c>
      <c r="BW12" s="171"/>
      <c r="BX12" s="171"/>
      <c r="BY12" s="171"/>
      <c r="BZ12" s="172">
        <f t="shared" ca="1" si="14"/>
        <v>35.986393162393163</v>
      </c>
      <c r="CA12" s="173">
        <f t="shared" ca="1" si="15"/>
        <v>14.394557264957266</v>
      </c>
      <c r="CB12" s="173">
        <f t="shared" ca="1" si="16"/>
        <v>21.591835897435899</v>
      </c>
      <c r="CC12" s="174"/>
      <c r="CD12" s="174"/>
      <c r="CE12" s="174"/>
      <c r="CF12" s="166">
        <f t="shared" ca="1" si="17"/>
        <v>23.193186751653577</v>
      </c>
      <c r="CG12" s="167">
        <f t="shared" ca="1" si="18"/>
        <v>9.2772747006614313</v>
      </c>
      <c r="CH12" s="167">
        <f t="shared" ca="1" si="18"/>
        <v>13.915912050992148</v>
      </c>
      <c r="CI12" s="168"/>
      <c r="CJ12" s="168"/>
      <c r="CK12" s="168"/>
    </row>
    <row r="13" spans="1:89">
      <c r="A13" s="4"/>
      <c r="AC13" s="164" t="s">
        <v>237</v>
      </c>
      <c r="AD13" s="164">
        <v>24</v>
      </c>
      <c r="AE13" s="165">
        <v>18</v>
      </c>
      <c r="AF13" s="165">
        <v>18</v>
      </c>
      <c r="AG13" s="165"/>
      <c r="AH13" s="164"/>
      <c r="AI13" s="164"/>
      <c r="AJ13" s="524"/>
      <c r="AK13" s="166">
        <f t="shared" ca="1" si="2"/>
        <v>30.479444444444454</v>
      </c>
      <c r="AL13" s="167">
        <f t="shared" ca="1" si="3"/>
        <v>15.239722222222227</v>
      </c>
      <c r="AM13" s="167">
        <f t="shared" ca="1" si="4"/>
        <v>15.239722222222227</v>
      </c>
      <c r="AN13" s="167"/>
      <c r="AO13" s="168"/>
      <c r="AP13" s="168"/>
      <c r="AQ13" s="169">
        <f t="shared" ca="1" si="5"/>
        <v>39.642222222222223</v>
      </c>
      <c r="AR13" s="170">
        <f ca="1">INDEX('Cap based on indoor unit SZ'!$J$6:$J$21,MATCH(AE13,'Cap based on indoor unit SZ'!$I$6:$I$21))</f>
        <v>19.821111111111112</v>
      </c>
      <c r="AS13" s="170">
        <f ca="1">INDEX('Cap based on indoor unit SZ'!$J$6:$J$21,MATCH(AF13,'Cap based on indoor unit SZ'!$I$6:$I$21))</f>
        <v>19.821111111111112</v>
      </c>
      <c r="AT13" s="170"/>
      <c r="AU13" s="171"/>
      <c r="AV13" s="171"/>
      <c r="AW13" s="169">
        <f t="shared" si="6"/>
        <v>28</v>
      </c>
      <c r="AX13" s="170">
        <v>14</v>
      </c>
      <c r="AY13" s="170">
        <v>14</v>
      </c>
      <c r="AZ13" s="170"/>
      <c r="BA13" s="171"/>
      <c r="BB13" s="171"/>
      <c r="BC13" s="172">
        <f t="shared" ca="1" si="7"/>
        <v>30.479444444444454</v>
      </c>
      <c r="BD13" s="173">
        <f t="shared" ca="1" si="8"/>
        <v>15.239722222222227</v>
      </c>
      <c r="BE13" s="173">
        <f t="shared" ca="1" si="9"/>
        <v>15.239722222222227</v>
      </c>
      <c r="BF13" s="173"/>
      <c r="BG13" s="174"/>
      <c r="BH13" s="174"/>
      <c r="BI13" s="166">
        <f t="shared" ca="1" si="10"/>
        <v>35.986393162393163</v>
      </c>
      <c r="BJ13" s="167">
        <f t="shared" ca="1" si="11"/>
        <v>17.993196581196582</v>
      </c>
      <c r="BK13" s="167">
        <f t="shared" ca="1" si="12"/>
        <v>17.993196581196582</v>
      </c>
      <c r="BL13" s="167"/>
      <c r="BM13" s="168"/>
      <c r="BN13" s="168"/>
      <c r="BO13" s="169">
        <f t="shared" ca="1" si="13"/>
        <v>49.197641025641026</v>
      </c>
      <c r="BP13" s="170">
        <f ca="1">INDEX('Cap based on indoor unit SZ'!$V$43:$V$58,MATCH(AE13,'Cap based on indoor unit SZ'!$U$43:$U$58))</f>
        <v>24.598820512820513</v>
      </c>
      <c r="BQ13" s="170">
        <f ca="1">INDEX('Cap based on indoor unit SZ'!$V$43:$V$58,MATCH(AF13,'Cap based on indoor unit SZ'!$U$43:$U$58))</f>
        <v>24.598820512820513</v>
      </c>
      <c r="BR13" s="170"/>
      <c r="BS13" s="171"/>
      <c r="BT13" s="171"/>
      <c r="BU13" s="175">
        <v>15000</v>
      </c>
      <c r="BV13" s="175">
        <v>15000</v>
      </c>
      <c r="BW13" s="171"/>
      <c r="BX13" s="171"/>
      <c r="BY13" s="171"/>
      <c r="BZ13" s="172">
        <f t="shared" ca="1" si="14"/>
        <v>35.986393162393163</v>
      </c>
      <c r="CA13" s="173">
        <f t="shared" ca="1" si="15"/>
        <v>17.993196581196582</v>
      </c>
      <c r="CB13" s="173">
        <f t="shared" ca="1" si="16"/>
        <v>17.993196581196582</v>
      </c>
      <c r="CC13" s="173"/>
      <c r="CD13" s="174"/>
      <c r="CE13" s="174"/>
      <c r="CF13" s="166">
        <f t="shared" ca="1" si="17"/>
        <v>23.193186751653577</v>
      </c>
      <c r="CG13" s="167">
        <f t="shared" ca="1" si="18"/>
        <v>11.596593375826789</v>
      </c>
      <c r="CH13" s="167">
        <f t="shared" ca="1" si="18"/>
        <v>11.596593375826789</v>
      </c>
      <c r="CI13" s="167"/>
      <c r="CJ13" s="168"/>
      <c r="CK13" s="168"/>
    </row>
    <row r="14" spans="1:89">
      <c r="A14" s="4"/>
      <c r="AC14" s="164" t="s">
        <v>222</v>
      </c>
      <c r="AD14" s="164">
        <v>24</v>
      </c>
      <c r="AE14" s="165">
        <v>9</v>
      </c>
      <c r="AF14" s="165">
        <v>9</v>
      </c>
      <c r="AG14" s="165">
        <v>9</v>
      </c>
      <c r="AH14" s="164"/>
      <c r="AI14" s="164"/>
      <c r="AJ14" s="510">
        <v>3</v>
      </c>
      <c r="AK14" s="166">
        <f t="shared" ca="1" si="2"/>
        <v>30.479444444444454</v>
      </c>
      <c r="AL14" s="167">
        <f ca="1">IF((INDEX($AA$4:$AA$7,MATCH(INDOOR_1,$Z$4:$Z$7))*(INDEX($X$27:$X$46,MATCH($AD14,$W$27:$W$46,1))/(INDEX($AA$4:$AA$7,MATCH(INDOOR_1,$Z$4:$Z$7))+INDEX($AA$4:$AA$7,MATCH(INDOOR_2,$Z$4:$Z$7))+INDEX($AA$4:$AA$7,MATCH(INDOOR_3,$Z$4:$Z$7)))))
&gt;AR14,AR14,
(INDEX($AA$4:$AA$7,MATCH(INDOOR_1,$Z$4:$Z$7))*(INDEX($X$27:$X$46,MATCH($AD14,$W$27:$W$46,1))/(INDEX($AA$4:$AA$7,MATCH(INDOOR_1,$Z$4:$Z$7))+INDEX($AA$4:$AA$7,MATCH(INDOOR_2,$Z$4:$Z$7))+INDEX($AA$4:$AA$7,MATCH(INDOOR_3,$Z$4:$Z$7))))))</f>
        <v>10.159814814814817</v>
      </c>
      <c r="AM14" s="167">
        <f ca="1">IF((INDEX($AA$4:$AA$7,MATCH(INDOOR_2,$Z$4:$Z$7))*(INDEX($X$27:$X$46,MATCH($AD14,$W$27:$W$46,1))/(INDEX($AA$4:$AA$7,MATCH(INDOOR_1,$Z$4:$Z$7))+INDEX($AA$4:$AA$7,MATCH(INDOOR_2,$Z$4:$Z$7))+INDEX($AA$4:$AA$7,MATCH(INDOOR_3,$Z$4:$Z$7)))))
&gt;AS14,AS14,
(INDEX($AA$4:$AA$7,MATCH(INDOOR_2,$Z$4:$Z$7))*(INDEX($X$27:$X$46,MATCH($AD14,$W$27:$W$46,1))/(INDEX($AA$4:$AA$7,MATCH(INDOOR_1,$Z$4:$Z$7))+INDEX($AA$4:$AA$7,MATCH(INDOOR_2,$Z$4:$Z$7))+INDEX($AA$4:$AA$7,MATCH(INDOOR_3,$Z$4:$Z$7))))))</f>
        <v>10.159814814814817</v>
      </c>
      <c r="AN14" s="167">
        <f ca="1">IF((INDEX($AA$4:$AA$7,MATCH(INDOOR_3,$Z$4:$Z$7))*(INDEX($X$27:$X$46,MATCH($AD14,$W$27:$W$46,1))/(INDEX($AA$4:$AA$7,MATCH(INDOOR_1,$Z$4:$Z$7))+INDEX($AA$4:$AA$7,MATCH(INDOOR_2,$Z$4:$Z$7))+INDEX($AA$4:$AA$7,MATCH(INDOOR_3,$Z$4:$Z$7)))))
&gt;AT14,AT14,
(INDEX($AA$4:$AA$7,MATCH(INDOOR_3,$Z$4:$Z$7))*(INDEX($X$27:$X$46,MATCH($AD14,$W$27:$W$46,1))/(INDEX($AA$4:$AA$7,MATCH(INDOOR_1,$Z$4:$Z$7))+INDEX($AA$4:$AA$7,MATCH(INDOOR_2,$Z$4:$Z$7))+INDEX($AA$4:$AA$7,MATCH(INDOOR_3,$Z$4:$Z$7))))))</f>
        <v>10.159814814814817</v>
      </c>
      <c r="AO14" s="178"/>
      <c r="AP14" s="178"/>
      <c r="AQ14" s="169">
        <f t="shared" ca="1" si="5"/>
        <v>31.389333333333333</v>
      </c>
      <c r="AR14" s="170">
        <f ca="1">INDEX('Cap based on indoor unit SZ'!$J$6:$J$21,MATCH(AE14,'Cap based on indoor unit SZ'!$I$6:$I$21))</f>
        <v>10.463111111111111</v>
      </c>
      <c r="AS14" s="170">
        <f ca="1">INDEX('Cap based on indoor unit SZ'!$J$6:$J$21,MATCH(AF14,'Cap based on indoor unit SZ'!$I$6:$I$21))</f>
        <v>10.463111111111111</v>
      </c>
      <c r="AT14" s="170">
        <f ca="1">INDEX('Cap based on indoor unit SZ'!$J$6:$J$21,MATCH(AG14,'Cap based on indoor unit SZ'!$I$6:$I$21))</f>
        <v>10.463111111111111</v>
      </c>
      <c r="AU14" s="179"/>
      <c r="AV14" s="179"/>
      <c r="AW14" s="169">
        <f t="shared" si="6"/>
        <v>27</v>
      </c>
      <c r="AX14" s="170">
        <v>9</v>
      </c>
      <c r="AY14" s="170">
        <v>9</v>
      </c>
      <c r="AZ14" s="170">
        <v>9</v>
      </c>
      <c r="BA14" s="179"/>
      <c r="BB14" s="179"/>
      <c r="BC14" s="172">
        <f t="shared" ca="1" si="7"/>
        <v>30.479444444444454</v>
      </c>
      <c r="BD14" s="173">
        <f t="shared" ref="BD14:BF18" ca="1" si="19">(INDEX($AA$4:$AA$7,MATCH(AE14,$Z$4:$Z$7))*(INDEX($X$27:$X$46,MATCH($AD14,$W$27:$W$46,1))/(INDEX($AA$4:$AA$7,MATCH($AE14,$Z$4:$Z$7))+INDEX($AA$4:$AA$7,MATCH($AF14,$Z$4:$Z$7))+INDEX($AA$4:$AA$7,MATCH($AG14,$Z$4:$Z$7)))))</f>
        <v>10.159814814814817</v>
      </c>
      <c r="BE14" s="173">
        <f t="shared" ca="1" si="19"/>
        <v>10.159814814814817</v>
      </c>
      <c r="BF14" s="173">
        <f t="shared" ca="1" si="19"/>
        <v>10.159814814814817</v>
      </c>
      <c r="BG14" s="180"/>
      <c r="BH14" s="180"/>
      <c r="BI14" s="166">
        <f t="shared" ca="1" si="10"/>
        <v>35.868061538461532</v>
      </c>
      <c r="BJ14" s="167">
        <f ca="1">IF((INDEX($AA$4:$AA$7,MATCH(INDOOR_1,$Z$4:$Z$7))*(INDEX($X$118:$X$137,MATCH($AD14,$W$118:$W$137,1))/(INDEX($AA$4:$AA$7,MATCH(INDOOR_1,$Z$4:$Z$7))+INDEX($AA$4:$AA$7,MATCH(INDOOR_2,$Z$4:$Z$7))+INDEX($AA$4:$AA$7,MATCH(INDOOR_3,$Z$4:$Z$7)))))
&gt;BP14,BP14,
(INDEX($AA$4:$AA$7,MATCH(INDOOR_1,$Z$4:$Z$7))*(INDEX($X$118:$X$137,MATCH($AD14,$W$118:$W$137,1))/(INDEX($AA$4:$AA$7,MATCH(INDOOR_1,$Z$4:$Z$7))+INDEX($AA$4:$AA$7,MATCH(INDOOR_2,$Z$4:$Z$7))+INDEX($AA$4:$AA$7,MATCH(INDOOR_3,$Z$4:$Z$7))))))</f>
        <v>11.956020512820512</v>
      </c>
      <c r="BK14" s="167">
        <f ca="1">IF((INDEX($AA$4:$AA$7,MATCH(INDOOR_2,$Z$4:$Z$7))*(INDEX($X$118:$X$137,MATCH($AD14,$W$118:$W$137,1))/(INDEX($AA$4:$AA$7,MATCH(INDOOR_1,$Z$4:$Z$7))+INDEX($AA$4:$AA$7,MATCH(INDOOR_2,$Z$4:$Z$7))+INDEX($AA$4:$AA$7,MATCH(INDOOR_3,$Z$4:$Z$7)))))
&gt;BQ14,BQ14,
(INDEX($AA$4:$AA$7,MATCH(INDOOR_2,$Z$4:$Z$7))*(INDEX($X$118:$X$137,MATCH($AD14,$W$118:$W$137,1))/(INDEX($AA$4:$AA$7,MATCH(INDOOR_1,$Z$4:$Z$7))+INDEX($AA$4:$AA$7,MATCH(INDOOR_2,$Z$4:$Z$7))+INDEX($AA$4:$AA$7,MATCH(INDOOR_3,$Z$4:$Z$7))))))</f>
        <v>11.956020512820512</v>
      </c>
      <c r="BL14" s="167">
        <f ca="1">IF((INDEX($AA$4:$AA$7,MATCH(INDOOR_3,$Z$4:$Z$7))*(INDEX($X$118:$X$137,MATCH($AD14,$W$118:$W$137,1))/(INDEX($AA$4:$AA$7,MATCH(INDOOR_1,$Z$4:$Z$7))+INDEX($AA$4:$AA$7,MATCH(INDOOR_2,$Z$4:$Z$7))+INDEX($AA$4:$AA$7,MATCH(INDOOR_3,$Z$4:$Z$7)))))
&gt;BR14,BR14,
(INDEX($AA$4:$AA$7,MATCH(INDOOR_3,$Z$4:$Z$7))*(INDEX($X$118:$X$137,MATCH($AD14,$W$118:$W$137,1))/(INDEX($AA$4:$AA$7,MATCH(INDOOR_1,$Z$4:$Z$7))+INDEX($AA$4:$AA$7,MATCH(INDOOR_2,$Z$4:$Z$7))+INDEX($AA$4:$AA$7,MATCH(INDOOR_3,$Z$4:$Z$7))))))</f>
        <v>11.956020512820512</v>
      </c>
      <c r="BM14" s="178"/>
      <c r="BN14" s="178"/>
      <c r="BO14" s="169">
        <f t="shared" ca="1" si="13"/>
        <v>35.868061538461532</v>
      </c>
      <c r="BP14" s="170">
        <f ca="1">INDEX('Cap based on indoor unit SZ'!$V$43:$V$58,MATCH(AE14,'Cap based on indoor unit SZ'!$U$43:$U$58))</f>
        <v>11.956020512820512</v>
      </c>
      <c r="BQ14" s="170">
        <f ca="1">INDEX('Cap based on indoor unit SZ'!$V$43:$V$58,MATCH(AF14,'Cap based on indoor unit SZ'!$U$43:$U$58))</f>
        <v>11.956020512820512</v>
      </c>
      <c r="BR14" s="170">
        <f ca="1">INDEX('Cap based on indoor unit SZ'!$V$43:$V$58,MATCH(AG14,'Cap based on indoor unit SZ'!$U$43:$U$58))</f>
        <v>11.956020512820512</v>
      </c>
      <c r="BS14" s="179"/>
      <c r="BT14" s="179"/>
      <c r="BU14" s="175">
        <v>9500</v>
      </c>
      <c r="BV14" s="175">
        <v>9500</v>
      </c>
      <c r="BW14" s="175">
        <v>9500</v>
      </c>
      <c r="BX14" s="179"/>
      <c r="BY14" s="179"/>
      <c r="BZ14" s="172">
        <f t="shared" ca="1" si="14"/>
        <v>35.986393162393163</v>
      </c>
      <c r="CA14" s="173">
        <f ca="1">(INDEX($AA$4:$AA$7,MATCH(INDOOR_1,$Z$4:$Z$7))*(INDEX($X$118:$X$137,MATCH($AD14,$W$118:$W$137,1))/(INDEX($AA$4:$AA$7,MATCH(INDOOR_1,$Z$4:$Z$7))+INDEX($AA$4:$AA$7,MATCH(INDOOR_2,$Z$4:$Z$7))+INDEX($AA$4:$AA$7,MATCH(INDOOR_3,$Z$4:$Z$7)))))</f>
        <v>11.995464387464388</v>
      </c>
      <c r="CB14" s="173">
        <f ca="1">(INDEX($AA$4:$AA$7,MATCH(INDOOR_2,$Z$4:$Z$7))*(INDEX($X$118:$X$137,MATCH($AD14,$W$118:$W$137,1))/(INDEX($AA$4:$AA$7,MATCH(INDOOR_1,$Z$4:$Z$7))+INDEX($AA$4:$AA$7,MATCH(INDOOR_2,$Z$4:$Z$7))+INDEX($AA$4:$AA$7,MATCH(INDOOR_3,$Z$4:$Z$7)))))</f>
        <v>11.995464387464388</v>
      </c>
      <c r="CC14" s="173">
        <f ca="1">(INDEX($AA$4:$AA$7,MATCH(INDOOR_3,$Z$4:$Z$7))*(INDEX($X$118:$X$137,MATCH($AD14,$W$118:$W$137,1))/(INDEX($AA$4:$AA$7,MATCH(INDOOR_1,$Z$4:$Z$7))+INDEX($AA$4:$AA$7,MATCH(INDOOR_2,$Z$4:$Z$7))+INDEX($AA$4:$AA$7,MATCH(INDOOR_3,$Z$4:$Z$7)))))</f>
        <v>11.995464387464388</v>
      </c>
      <c r="CD14" s="180"/>
      <c r="CE14" s="180"/>
      <c r="CF14" s="166">
        <f t="shared" ca="1" si="17"/>
        <v>23.193186751653577</v>
      </c>
      <c r="CG14" s="167">
        <f t="shared" ca="1" si="18"/>
        <v>7.7310622505511919</v>
      </c>
      <c r="CH14" s="167">
        <f t="shared" ca="1" si="18"/>
        <v>7.7310622505511919</v>
      </c>
      <c r="CI14" s="167">
        <f ca="1">AN14*(INDEX($X$67:$X$86,MATCH($AD14,$W$67:$W$86,1)))</f>
        <v>7.7310622505511919</v>
      </c>
      <c r="CJ14" s="178"/>
      <c r="CK14" s="178"/>
    </row>
    <row r="15" spans="1:89">
      <c r="A15" s="4"/>
      <c r="AC15" s="164" t="s">
        <v>219</v>
      </c>
      <c r="AD15" s="164">
        <v>24</v>
      </c>
      <c r="AE15" s="165">
        <v>9</v>
      </c>
      <c r="AF15" s="165">
        <v>9</v>
      </c>
      <c r="AG15" s="165">
        <v>12</v>
      </c>
      <c r="AH15" s="164"/>
      <c r="AI15" s="164"/>
      <c r="AJ15" s="501"/>
      <c r="AK15" s="166">
        <f t="shared" ca="1" si="2"/>
        <v>30.479444444444454</v>
      </c>
      <c r="AL15" s="167">
        <f ca="1">IF((INDEX($AA$4:$AA$7,MATCH(INDOOR_1,$Z$4:$Z$7))*(INDEX($X$27:$X$46,MATCH($AD15,$W$27:$W$46,1))/(INDEX($AA$4:$AA$7,MATCH(INDOOR_1,$Z$4:$Z$7))+INDEX($AA$4:$AA$7,MATCH(INDOOR_2,$Z$4:$Z$7))+INDEX($AA$4:$AA$7,MATCH(INDOOR_3,$Z$4:$Z$7)))))
&gt;AR15,AR15,
(INDEX($AA$4:$AA$7,MATCH(INDOOR_1,$Z$4:$Z$7))*(INDEX($X$27:$X$46,MATCH($AD15,$W$27:$W$46,1))/(INDEX($AA$4:$AA$7,MATCH(INDOOR_1,$Z$4:$Z$7))+INDEX($AA$4:$AA$7,MATCH(INDOOR_2,$Z$4:$Z$7))+INDEX($AA$4:$AA$7,MATCH(INDOOR_3,$Z$4:$Z$7))))))</f>
        <v>9.1438333333333368</v>
      </c>
      <c r="AM15" s="167">
        <f ca="1">IF((INDEX($AA$4:$AA$7,MATCH(INDOOR_2,$Z$4:$Z$7))*(INDEX($X$27:$X$46,MATCH($AD15,$W$27:$W$46,1))/(INDEX($AA$4:$AA$7,MATCH(INDOOR_1,$Z$4:$Z$7))+INDEX($AA$4:$AA$7,MATCH(INDOOR_2,$Z$4:$Z$7))+INDEX($AA$4:$AA$7,MATCH(INDOOR_3,$Z$4:$Z$7)))))
&gt;AS15,AS15,
(INDEX($AA$4:$AA$7,MATCH(INDOOR_2,$Z$4:$Z$7))*(INDEX($X$27:$X$46,MATCH($AD15,$W$27:$W$46,1))/(INDEX($AA$4:$AA$7,MATCH(INDOOR_1,$Z$4:$Z$7))+INDEX($AA$4:$AA$7,MATCH(INDOOR_2,$Z$4:$Z$7))+INDEX($AA$4:$AA$7,MATCH(INDOOR_3,$Z$4:$Z$7))))))</f>
        <v>9.1438333333333368</v>
      </c>
      <c r="AN15" s="167">
        <f ca="1">IF((INDEX($AA$4:$AA$7,MATCH(INDOOR_3,$Z$4:$Z$7))*(INDEX($X$27:$X$46,MATCH($AD15,$W$27:$W$46,1))/(INDEX($AA$4:$AA$7,MATCH(INDOOR_1,$Z$4:$Z$7))+INDEX($AA$4:$AA$7,MATCH(INDOOR_2,$Z$4:$Z$7))+INDEX($AA$4:$AA$7,MATCH(INDOOR_3,$Z$4:$Z$7)))))
&gt;AT15,AT15,
(INDEX($AA$4:$AA$7,MATCH(INDOOR_3,$Z$4:$Z$7))*(INDEX($X$27:$X$46,MATCH($AD15,$W$27:$W$46,1))/(INDEX($AA$4:$AA$7,MATCH(INDOOR_1,$Z$4:$Z$7))+INDEX($AA$4:$AA$7,MATCH(INDOOR_2,$Z$4:$Z$7))+INDEX($AA$4:$AA$7,MATCH(INDOOR_3,$Z$4:$Z$7))))))</f>
        <v>12.191777777777782</v>
      </c>
      <c r="AO15" s="178"/>
      <c r="AP15" s="178"/>
      <c r="AQ15" s="169">
        <f t="shared" ca="1" si="5"/>
        <v>34.005111111111113</v>
      </c>
      <c r="AR15" s="170">
        <f ca="1">INDEX('Cap based on indoor unit SZ'!$J$6:$J$21,MATCH(AE15,'Cap based on indoor unit SZ'!$I$6:$I$21))</f>
        <v>10.463111111111111</v>
      </c>
      <c r="AS15" s="170">
        <f ca="1">INDEX('Cap based on indoor unit SZ'!$J$6:$J$21,MATCH(AF15,'Cap based on indoor unit SZ'!$I$6:$I$21))</f>
        <v>10.463111111111111</v>
      </c>
      <c r="AT15" s="170">
        <f ca="1">INDEX('Cap based on indoor unit SZ'!$J$6:$J$21,MATCH(AG15,'Cap based on indoor unit SZ'!$I$6:$I$21))</f>
        <v>13.078888888888891</v>
      </c>
      <c r="AU15" s="179"/>
      <c r="AV15" s="179"/>
      <c r="AW15" s="169">
        <f t="shared" si="6"/>
        <v>29.000999999999998</v>
      </c>
      <c r="AX15" s="170">
        <v>8.6669999999999998</v>
      </c>
      <c r="AY15" s="170">
        <v>8.6669999999999998</v>
      </c>
      <c r="AZ15" s="170">
        <v>11.667</v>
      </c>
      <c r="BA15" s="179"/>
      <c r="BB15" s="179"/>
      <c r="BC15" s="172">
        <f t="shared" ca="1" si="7"/>
        <v>30.479444444444454</v>
      </c>
      <c r="BD15" s="173">
        <f t="shared" ca="1" si="19"/>
        <v>9.1438333333333368</v>
      </c>
      <c r="BE15" s="173">
        <f t="shared" ca="1" si="19"/>
        <v>9.1438333333333368</v>
      </c>
      <c r="BF15" s="173">
        <f t="shared" ca="1" si="19"/>
        <v>12.191777777777782</v>
      </c>
      <c r="BG15" s="180"/>
      <c r="BH15" s="180"/>
      <c r="BI15" s="166">
        <f t="shared" ca="1" si="10"/>
        <v>35.986393162393163</v>
      </c>
      <c r="BJ15" s="167">
        <f ca="1">IF((INDEX($AA$4:$AA$7,MATCH(INDOOR_1,$Z$4:$Z$7))*(INDEX($X$118:$X$137,MATCH($AD15,$W$118:$W$137,1))/(INDEX($AA$4:$AA$7,MATCH(INDOOR_1,$Z$4:$Z$7))+INDEX($AA$4:$AA$7,MATCH(INDOOR_2,$Z$4:$Z$7))+INDEX($AA$4:$AA$7,MATCH(INDOOR_3,$Z$4:$Z$7)))))
&gt;BP15,BP15,
(INDEX($AA$4:$AA$7,MATCH(INDOOR_1,$Z$4:$Z$7))*(INDEX($X$118:$X$137,MATCH($AD15,$W$118:$W$137,1))/(INDEX($AA$4:$AA$7,MATCH(INDOOR_1,$Z$4:$Z$7))+INDEX($AA$4:$AA$7,MATCH(INDOOR_2,$Z$4:$Z$7))+INDEX($AA$4:$AA$7,MATCH(INDOOR_3,$Z$4:$Z$7))))))</f>
        <v>10.79591794871795</v>
      </c>
      <c r="BK15" s="167">
        <f ca="1">IF((INDEX($AA$4:$AA$7,MATCH(INDOOR_2,$Z$4:$Z$7))*(INDEX($X$118:$X$137,MATCH($AD15,$W$118:$W$137,1))/(INDEX($AA$4:$AA$7,MATCH(INDOOR_1,$Z$4:$Z$7))+INDEX($AA$4:$AA$7,MATCH(INDOOR_2,$Z$4:$Z$7))+INDEX($AA$4:$AA$7,MATCH(INDOOR_3,$Z$4:$Z$7)))))
&gt;BQ15,BQ15,
(INDEX($AA$4:$AA$7,MATCH(INDOOR_2,$Z$4:$Z$7))*(INDEX($X$118:$X$137,MATCH($AD15,$W$118:$W$137,1))/(INDEX($AA$4:$AA$7,MATCH(INDOOR_1,$Z$4:$Z$7))+INDEX($AA$4:$AA$7,MATCH(INDOOR_2,$Z$4:$Z$7))+INDEX($AA$4:$AA$7,MATCH(INDOOR_3,$Z$4:$Z$7))))))</f>
        <v>10.79591794871795</v>
      </c>
      <c r="BL15" s="167">
        <f ca="1">IF((INDEX($AA$4:$AA$7,MATCH(INDOOR_3,$Z$4:$Z$7))*(INDEX($X$118:$X$137,MATCH($AD15,$W$118:$W$137,1))/(INDEX($AA$4:$AA$7,MATCH(INDOOR_1,$Z$4:$Z$7))+INDEX($AA$4:$AA$7,MATCH(INDOOR_2,$Z$4:$Z$7))+INDEX($AA$4:$AA$7,MATCH(INDOOR_3,$Z$4:$Z$7)))))
&gt;BR15,BR15,
(INDEX($AA$4:$AA$7,MATCH(INDOOR_3,$Z$4:$Z$7))*(INDEX($X$118:$X$137,MATCH($AD15,$W$118:$W$137,1))/(INDEX($AA$4:$AA$7,MATCH(INDOOR_1,$Z$4:$Z$7))+INDEX($AA$4:$AA$7,MATCH(INDOOR_2,$Z$4:$Z$7))+INDEX($AA$4:$AA$7,MATCH(INDOOR_3,$Z$4:$Z$7))))))</f>
        <v>14.394557264957266</v>
      </c>
      <c r="BM15" s="178"/>
      <c r="BN15" s="178"/>
      <c r="BO15" s="169">
        <f t="shared" ca="1" si="13"/>
        <v>38.857066666666668</v>
      </c>
      <c r="BP15" s="170">
        <f ca="1">INDEX('Cap based on indoor unit SZ'!$V$43:$V$58,MATCH(AE15,'Cap based on indoor unit SZ'!$U$43:$U$58))</f>
        <v>11.956020512820512</v>
      </c>
      <c r="BQ15" s="170">
        <f ca="1">INDEX('Cap based on indoor unit SZ'!$V$43:$V$58,MATCH(AF15,'Cap based on indoor unit SZ'!$U$43:$U$58))</f>
        <v>11.956020512820512</v>
      </c>
      <c r="BR15" s="170">
        <f ca="1">INDEX('Cap based on indoor unit SZ'!$V$43:$V$58,MATCH(AG15,'Cap based on indoor unit SZ'!$U$43:$U$58))</f>
        <v>14.945025641025641</v>
      </c>
      <c r="BS15" s="179"/>
      <c r="BT15" s="179"/>
      <c r="BU15" s="175">
        <v>9500</v>
      </c>
      <c r="BV15" s="175">
        <v>9500</v>
      </c>
      <c r="BW15" s="175">
        <v>12000</v>
      </c>
      <c r="BX15" s="179"/>
      <c r="BY15" s="179"/>
      <c r="BZ15" s="172">
        <f t="shared" ca="1" si="14"/>
        <v>35.986393162393163</v>
      </c>
      <c r="CA15" s="173">
        <f ca="1">(INDEX($AA$4:$AA$7,MATCH(INDOOR_1,$Z$4:$Z$7))*(INDEX($X$118:$X$137,MATCH($AD15,$W$118:$W$137,1))/(INDEX($AA$4:$AA$7,MATCH(INDOOR_1,$Z$4:$Z$7))+INDEX($AA$4:$AA$7,MATCH(INDOOR_2,$Z$4:$Z$7))+INDEX($AA$4:$AA$7,MATCH(INDOOR_3,$Z$4:$Z$7)))))</f>
        <v>10.79591794871795</v>
      </c>
      <c r="CB15" s="173">
        <f ca="1">(INDEX($AA$4:$AA$7,MATCH(INDOOR_2,$Z$4:$Z$7))*(INDEX($X$118:$X$137,MATCH($AD15,$W$118:$W$137,1))/(INDEX($AA$4:$AA$7,MATCH(INDOOR_1,$Z$4:$Z$7))+INDEX($AA$4:$AA$7,MATCH(INDOOR_2,$Z$4:$Z$7))+INDEX($AA$4:$AA$7,MATCH(INDOOR_3,$Z$4:$Z$7)))))</f>
        <v>10.79591794871795</v>
      </c>
      <c r="CC15" s="173">
        <f ca="1">(INDEX($AA$4:$AA$7,MATCH(INDOOR_3,$Z$4:$Z$7))*(INDEX($X$118:$X$137,MATCH($AD15,$W$118:$W$137,1))/(INDEX($AA$4:$AA$7,MATCH(INDOOR_1,$Z$4:$Z$7))+INDEX($AA$4:$AA$7,MATCH(INDOOR_2,$Z$4:$Z$7))+INDEX($AA$4:$AA$7,MATCH(INDOOR_3,$Z$4:$Z$7)))))</f>
        <v>14.394557264957266</v>
      </c>
      <c r="CD15" s="180"/>
      <c r="CE15" s="180"/>
      <c r="CF15" s="166">
        <f t="shared" ca="1" si="17"/>
        <v>23.193186751653577</v>
      </c>
      <c r="CG15" s="167">
        <f t="shared" ca="1" si="18"/>
        <v>6.9579560254960739</v>
      </c>
      <c r="CH15" s="167">
        <f t="shared" ca="1" si="18"/>
        <v>6.9579560254960739</v>
      </c>
      <c r="CI15" s="167">
        <f ca="1">AN15*(INDEX($X$67:$X$86,MATCH($AD15,$W$67:$W$86,1)))</f>
        <v>9.2772747006614313</v>
      </c>
      <c r="CJ15" s="178"/>
      <c r="CK15" s="178"/>
    </row>
    <row r="16" spans="1:89">
      <c r="A16" s="4"/>
      <c r="AC16" s="164" t="s">
        <v>178</v>
      </c>
      <c r="AD16" s="164">
        <v>24</v>
      </c>
      <c r="AE16" s="165">
        <v>9</v>
      </c>
      <c r="AF16" s="165">
        <v>9</v>
      </c>
      <c r="AG16" s="165">
        <v>18</v>
      </c>
      <c r="AH16" s="164"/>
      <c r="AI16" s="164"/>
      <c r="AJ16" s="501"/>
      <c r="AK16" s="166">
        <f t="shared" ca="1" si="2"/>
        <v>30.479444444444454</v>
      </c>
      <c r="AL16" s="167">
        <f ca="1">IF((INDEX($AA$4:$AA$7,MATCH(INDOOR_1,$Z$4:$Z$7))*(INDEX($X$27:$X$46,MATCH($AD16,$W$27:$W$46,1))/(INDEX($AA$4:$AA$7,MATCH(INDOOR_1,$Z$4:$Z$7))+INDEX($AA$4:$AA$7,MATCH(INDOOR_2,$Z$4:$Z$7))+INDEX($AA$4:$AA$7,MATCH(INDOOR_3,$Z$4:$Z$7)))))
&gt;AR16,AR16,
(INDEX($AA$4:$AA$7,MATCH(INDOOR_1,$Z$4:$Z$7))*(INDEX($X$27:$X$46,MATCH($AD16,$W$27:$W$46,1))/(INDEX($AA$4:$AA$7,MATCH(INDOOR_1,$Z$4:$Z$7))+INDEX($AA$4:$AA$7,MATCH(INDOOR_2,$Z$4:$Z$7))+INDEX($AA$4:$AA$7,MATCH(INDOOR_3,$Z$4:$Z$7))))))</f>
        <v>7.6198611111111134</v>
      </c>
      <c r="AM16" s="167">
        <f ca="1">IF((INDEX($AA$4:$AA$7,MATCH(INDOOR_2,$Z$4:$Z$7))*(INDEX($X$27:$X$46,MATCH($AD16,$W$27:$W$46,1))/(INDEX($AA$4:$AA$7,MATCH(INDOOR_1,$Z$4:$Z$7))+INDEX($AA$4:$AA$7,MATCH(INDOOR_2,$Z$4:$Z$7))+INDEX($AA$4:$AA$7,MATCH(INDOOR_3,$Z$4:$Z$7)))))
&gt;AS16,AS16,
(INDEX($AA$4:$AA$7,MATCH(INDOOR_2,$Z$4:$Z$7))*(INDEX($X$27:$X$46,MATCH($AD16,$W$27:$W$46,1))/(INDEX($AA$4:$AA$7,MATCH(INDOOR_1,$Z$4:$Z$7))+INDEX($AA$4:$AA$7,MATCH(INDOOR_2,$Z$4:$Z$7))+INDEX($AA$4:$AA$7,MATCH(INDOOR_3,$Z$4:$Z$7))))))</f>
        <v>7.6198611111111134</v>
      </c>
      <c r="AN16" s="167">
        <f ca="1">IF((INDEX($AA$4:$AA$7,MATCH(INDOOR_3,$Z$4:$Z$7))*(INDEX($X$27:$X$46,MATCH($AD16,$W$27:$W$46,1))/(INDEX($AA$4:$AA$7,MATCH(INDOOR_1,$Z$4:$Z$7))+INDEX($AA$4:$AA$7,MATCH(INDOOR_2,$Z$4:$Z$7))+INDEX($AA$4:$AA$7,MATCH(INDOOR_3,$Z$4:$Z$7)))))
&gt;AT16,AT16,
(INDEX($AA$4:$AA$7,MATCH(INDOOR_3,$Z$4:$Z$7))*(INDEX($X$27:$X$46,MATCH($AD16,$W$27:$W$46,1))/(INDEX($AA$4:$AA$7,MATCH(INDOOR_1,$Z$4:$Z$7))+INDEX($AA$4:$AA$7,MATCH(INDOOR_2,$Z$4:$Z$7))+INDEX($AA$4:$AA$7,MATCH(INDOOR_3,$Z$4:$Z$7))))))</f>
        <v>15.239722222222227</v>
      </c>
      <c r="AO16" s="178"/>
      <c r="AP16" s="178"/>
      <c r="AQ16" s="169">
        <f t="shared" ca="1" si="5"/>
        <v>40.74733333333333</v>
      </c>
      <c r="AR16" s="170">
        <f ca="1">INDEX('Cap based on indoor unit SZ'!$J$6:$J$21,MATCH(AE16,'Cap based on indoor unit SZ'!$I$6:$I$21))</f>
        <v>10.463111111111111</v>
      </c>
      <c r="AS16" s="170">
        <f ca="1">INDEX('Cap based on indoor unit SZ'!$J$6:$J$21,MATCH(AF16,'Cap based on indoor unit SZ'!$I$6:$I$21))</f>
        <v>10.463111111111111</v>
      </c>
      <c r="AT16" s="170">
        <f ca="1">INDEX('Cap based on indoor unit SZ'!$J$6:$J$21,MATCH(AG16,'Cap based on indoor unit SZ'!$I$6:$I$21))</f>
        <v>19.821111111111112</v>
      </c>
      <c r="AU16" s="179"/>
      <c r="AV16" s="179"/>
      <c r="AW16" s="169">
        <f t="shared" si="6"/>
        <v>29.999000000000002</v>
      </c>
      <c r="AX16" s="170">
        <v>8.3330000000000002</v>
      </c>
      <c r="AY16" s="170">
        <v>8.3330000000000002</v>
      </c>
      <c r="AZ16" s="170">
        <v>13.333</v>
      </c>
      <c r="BA16" s="179"/>
      <c r="BB16" s="179"/>
      <c r="BC16" s="172">
        <f t="shared" ca="1" si="7"/>
        <v>30.479444444444454</v>
      </c>
      <c r="BD16" s="173">
        <f t="shared" ca="1" si="19"/>
        <v>7.6198611111111134</v>
      </c>
      <c r="BE16" s="173">
        <f t="shared" ca="1" si="19"/>
        <v>7.6198611111111134</v>
      </c>
      <c r="BF16" s="173">
        <f t="shared" ca="1" si="19"/>
        <v>15.239722222222227</v>
      </c>
      <c r="BG16" s="180"/>
      <c r="BH16" s="180"/>
      <c r="BI16" s="166">
        <f t="shared" ca="1" si="10"/>
        <v>35.986393162393163</v>
      </c>
      <c r="BJ16" s="167">
        <f ca="1">IF((INDEX($AA$4:$AA$7,MATCH(INDOOR_1,$Z$4:$Z$7))*(INDEX($X$118:$X$137,MATCH($AD16,$W$118:$W$137,1))/(INDEX($AA$4:$AA$7,MATCH(INDOOR_1,$Z$4:$Z$7))+INDEX($AA$4:$AA$7,MATCH(INDOOR_2,$Z$4:$Z$7))+INDEX($AA$4:$AA$7,MATCH(INDOOR_3,$Z$4:$Z$7)))))
&gt;BP16,BP16,
(INDEX($AA$4:$AA$7,MATCH(INDOOR_1,$Z$4:$Z$7))*(INDEX($X$118:$X$137,MATCH($AD16,$W$118:$W$137,1))/(INDEX($AA$4:$AA$7,MATCH(INDOOR_1,$Z$4:$Z$7))+INDEX($AA$4:$AA$7,MATCH(INDOOR_2,$Z$4:$Z$7))+INDEX($AA$4:$AA$7,MATCH(INDOOR_3,$Z$4:$Z$7))))))</f>
        <v>8.9965982905982909</v>
      </c>
      <c r="BK16" s="167">
        <f ca="1">IF((INDEX($AA$4:$AA$7,MATCH(INDOOR_2,$Z$4:$Z$7))*(INDEX($X$118:$X$137,MATCH($AD16,$W$118:$W$137,1))/(INDEX($AA$4:$AA$7,MATCH(INDOOR_1,$Z$4:$Z$7))+INDEX($AA$4:$AA$7,MATCH(INDOOR_2,$Z$4:$Z$7))+INDEX($AA$4:$AA$7,MATCH(INDOOR_3,$Z$4:$Z$7)))))
&gt;BQ16,BQ16,
(INDEX($AA$4:$AA$7,MATCH(INDOOR_2,$Z$4:$Z$7))*(INDEX($X$118:$X$137,MATCH($AD16,$W$118:$W$137,1))/(INDEX($AA$4:$AA$7,MATCH(INDOOR_1,$Z$4:$Z$7))+INDEX($AA$4:$AA$7,MATCH(INDOOR_2,$Z$4:$Z$7))+INDEX($AA$4:$AA$7,MATCH(INDOOR_3,$Z$4:$Z$7))))))</f>
        <v>8.9965982905982909</v>
      </c>
      <c r="BL16" s="167">
        <f ca="1">IF((INDEX($AA$4:$AA$7,MATCH(INDOOR_3,$Z$4:$Z$7))*(INDEX($X$118:$X$137,MATCH($AD16,$W$118:$W$137,1))/(INDEX($AA$4:$AA$7,MATCH(INDOOR_1,$Z$4:$Z$7))+INDEX($AA$4:$AA$7,MATCH(INDOOR_2,$Z$4:$Z$7))+INDEX($AA$4:$AA$7,MATCH(INDOOR_3,$Z$4:$Z$7)))))
&gt;BR16,BR16,
(INDEX($AA$4:$AA$7,MATCH(INDOOR_3,$Z$4:$Z$7))*(INDEX($X$118:$X$137,MATCH($AD16,$W$118:$W$137,1))/(INDEX($AA$4:$AA$7,MATCH(INDOOR_1,$Z$4:$Z$7))+INDEX($AA$4:$AA$7,MATCH(INDOOR_2,$Z$4:$Z$7))+INDEX($AA$4:$AA$7,MATCH(INDOOR_3,$Z$4:$Z$7))))))</f>
        <v>17.993196581196582</v>
      </c>
      <c r="BM16" s="178"/>
      <c r="BN16" s="178"/>
      <c r="BO16" s="169">
        <f t="shared" ca="1" si="13"/>
        <v>48.51086153846154</v>
      </c>
      <c r="BP16" s="170">
        <f ca="1">INDEX('Cap based on indoor unit SZ'!$V$43:$V$58,MATCH(AE16,'Cap based on indoor unit SZ'!$U$43:$U$58))</f>
        <v>11.956020512820512</v>
      </c>
      <c r="BQ16" s="170">
        <f ca="1">INDEX('Cap based on indoor unit SZ'!$V$43:$V$58,MATCH(AF16,'Cap based on indoor unit SZ'!$U$43:$U$58))</f>
        <v>11.956020512820512</v>
      </c>
      <c r="BR16" s="170">
        <f ca="1">INDEX('Cap based on indoor unit SZ'!$V$43:$V$58,MATCH(AG16,'Cap based on indoor unit SZ'!$U$43:$U$58))</f>
        <v>24.598820512820513</v>
      </c>
      <c r="BS16" s="179"/>
      <c r="BT16" s="179"/>
      <c r="BU16" s="175">
        <v>9000</v>
      </c>
      <c r="BV16" s="175">
        <v>9000</v>
      </c>
      <c r="BW16" s="175">
        <v>14000</v>
      </c>
      <c r="BX16" s="179"/>
      <c r="BY16" s="179"/>
      <c r="BZ16" s="172">
        <f t="shared" ca="1" si="14"/>
        <v>35.986393162393163</v>
      </c>
      <c r="CA16" s="173">
        <f ca="1">(INDEX($AA$4:$AA$7,MATCH(INDOOR_1,$Z$4:$Z$7))*(INDEX($X$118:$X$137,MATCH($AD16,$W$118:$W$137,1))/(INDEX($AA$4:$AA$7,MATCH(INDOOR_1,$Z$4:$Z$7))+INDEX($AA$4:$AA$7,MATCH(INDOOR_2,$Z$4:$Z$7))+INDEX($AA$4:$AA$7,MATCH(INDOOR_3,$Z$4:$Z$7)))))</f>
        <v>8.9965982905982909</v>
      </c>
      <c r="CB16" s="173">
        <f ca="1">(INDEX($AA$4:$AA$7,MATCH(INDOOR_2,$Z$4:$Z$7))*(INDEX($X$118:$X$137,MATCH($AD16,$W$118:$W$137,1))/(INDEX($AA$4:$AA$7,MATCH(INDOOR_1,$Z$4:$Z$7))+INDEX($AA$4:$AA$7,MATCH(INDOOR_2,$Z$4:$Z$7))+INDEX($AA$4:$AA$7,MATCH(INDOOR_3,$Z$4:$Z$7)))))</f>
        <v>8.9965982905982909</v>
      </c>
      <c r="CC16" s="173">
        <f ca="1">(INDEX($AA$4:$AA$7,MATCH(INDOOR_3,$Z$4:$Z$7))*(INDEX($X$118:$X$137,MATCH($AD16,$W$118:$W$137,1))/(INDEX($AA$4:$AA$7,MATCH(INDOOR_1,$Z$4:$Z$7))+INDEX($AA$4:$AA$7,MATCH(INDOOR_2,$Z$4:$Z$7))+INDEX($AA$4:$AA$7,MATCH(INDOOR_3,$Z$4:$Z$7)))))</f>
        <v>17.993196581196582</v>
      </c>
      <c r="CD16" s="180"/>
      <c r="CE16" s="180"/>
      <c r="CF16" s="166">
        <f t="shared" ca="1" si="17"/>
        <v>23.193186751653577</v>
      </c>
      <c r="CG16" s="167">
        <f t="shared" ca="1" si="18"/>
        <v>5.7982966879133944</v>
      </c>
      <c r="CH16" s="167">
        <f t="shared" ca="1" si="18"/>
        <v>5.7982966879133944</v>
      </c>
      <c r="CI16" s="167">
        <f ca="1">AN16*(INDEX($X$67:$X$86,MATCH($AD16,$W$67:$W$86,1)))</f>
        <v>11.596593375826789</v>
      </c>
      <c r="CJ16" s="178"/>
      <c r="CK16" s="178"/>
    </row>
    <row r="17" spans="1:89">
      <c r="A17" s="4"/>
      <c r="AC17" s="164" t="s">
        <v>176</v>
      </c>
      <c r="AD17" s="164">
        <v>24</v>
      </c>
      <c r="AE17" s="165">
        <v>9</v>
      </c>
      <c r="AF17" s="165">
        <v>12</v>
      </c>
      <c r="AG17" s="165">
        <v>12</v>
      </c>
      <c r="AH17" s="164"/>
      <c r="AI17" s="164"/>
      <c r="AJ17" s="501"/>
      <c r="AK17" s="166">
        <f t="shared" ca="1" si="2"/>
        <v>30.479444444444457</v>
      </c>
      <c r="AL17" s="167">
        <f ca="1">IF((INDEX($AA$4:$AA$7,MATCH(INDOOR_1,$Z$4:$Z$7))*(INDEX($X$27:$X$46,MATCH($AD17,$W$27:$W$46,1))/(INDEX($AA$4:$AA$7,MATCH(INDOOR_1,$Z$4:$Z$7))+INDEX($AA$4:$AA$7,MATCH(INDOOR_2,$Z$4:$Z$7))+INDEX($AA$4:$AA$7,MATCH(INDOOR_3,$Z$4:$Z$7)))))
&gt;AR17,AR17,
(INDEX($AA$4:$AA$7,MATCH(INDOOR_1,$Z$4:$Z$7))*(INDEX($X$27:$X$46,MATCH($AD17,$W$27:$W$46,1))/(INDEX($AA$4:$AA$7,MATCH(INDOOR_1,$Z$4:$Z$7))+INDEX($AA$4:$AA$7,MATCH(INDOOR_2,$Z$4:$Z$7))+INDEX($AA$4:$AA$7,MATCH(INDOOR_3,$Z$4:$Z$7))))))</f>
        <v>8.3125757575757611</v>
      </c>
      <c r="AM17" s="167">
        <f ca="1">IF((INDEX($AA$4:$AA$7,MATCH(INDOOR_2,$Z$4:$Z$7))*(INDEX($X$27:$X$46,MATCH($AD17,$W$27:$W$46,1))/(INDEX($AA$4:$AA$7,MATCH(INDOOR_1,$Z$4:$Z$7))+INDEX($AA$4:$AA$7,MATCH(INDOOR_2,$Z$4:$Z$7))+INDEX($AA$4:$AA$7,MATCH(INDOOR_3,$Z$4:$Z$7)))))
&gt;AS17,AS17,
(INDEX($AA$4:$AA$7,MATCH(INDOOR_2,$Z$4:$Z$7))*(INDEX($X$27:$X$46,MATCH($AD17,$W$27:$W$46,1))/(INDEX($AA$4:$AA$7,MATCH(INDOOR_1,$Z$4:$Z$7))+INDEX($AA$4:$AA$7,MATCH(INDOOR_2,$Z$4:$Z$7))+INDEX($AA$4:$AA$7,MATCH(INDOOR_3,$Z$4:$Z$7))))))</f>
        <v>11.083434343434348</v>
      </c>
      <c r="AN17" s="167">
        <f ca="1">IF((INDEX($AA$4:$AA$7,MATCH(INDOOR_3,$Z$4:$Z$7))*(INDEX($X$27:$X$46,MATCH($AD17,$W$27:$W$46,1))/(INDEX($AA$4:$AA$7,MATCH(INDOOR_1,$Z$4:$Z$7))+INDEX($AA$4:$AA$7,MATCH(INDOOR_2,$Z$4:$Z$7))+INDEX($AA$4:$AA$7,MATCH(INDOOR_3,$Z$4:$Z$7)))))
&gt;AT17,AT17,
(INDEX($AA$4:$AA$7,MATCH(INDOOR_3,$Z$4:$Z$7))*(INDEX($X$27:$X$46,MATCH($AD17,$W$27:$W$46,1))/(INDEX($AA$4:$AA$7,MATCH(INDOOR_1,$Z$4:$Z$7))+INDEX($AA$4:$AA$7,MATCH(INDOOR_2,$Z$4:$Z$7))+INDEX($AA$4:$AA$7,MATCH(INDOOR_3,$Z$4:$Z$7))))))</f>
        <v>11.083434343434348</v>
      </c>
      <c r="AO17" s="178"/>
      <c r="AP17" s="178"/>
      <c r="AQ17" s="169">
        <f t="shared" ca="1" si="5"/>
        <v>36.620888888888892</v>
      </c>
      <c r="AR17" s="170">
        <f ca="1">INDEX('Cap based on indoor unit SZ'!$J$6:$J$21,MATCH(AE17,'Cap based on indoor unit SZ'!$I$6:$I$21))</f>
        <v>10.463111111111111</v>
      </c>
      <c r="AS17" s="170">
        <f ca="1">INDEX('Cap based on indoor unit SZ'!$J$6:$J$21,MATCH(AF17,'Cap based on indoor unit SZ'!$I$6:$I$21))</f>
        <v>13.078888888888891</v>
      </c>
      <c r="AT17" s="170">
        <f ca="1">INDEX('Cap based on indoor unit SZ'!$J$6:$J$21,MATCH(AG17,'Cap based on indoor unit SZ'!$I$6:$I$21))</f>
        <v>13.078888888888891</v>
      </c>
      <c r="AU17" s="179"/>
      <c r="AV17" s="179"/>
      <c r="AW17" s="169">
        <f t="shared" si="6"/>
        <v>28.5</v>
      </c>
      <c r="AX17" s="170">
        <v>8.5</v>
      </c>
      <c r="AY17" s="170">
        <v>10</v>
      </c>
      <c r="AZ17" s="170">
        <v>10</v>
      </c>
      <c r="BA17" s="179"/>
      <c r="BB17" s="179"/>
      <c r="BC17" s="172">
        <f t="shared" ca="1" si="7"/>
        <v>30.479444444444457</v>
      </c>
      <c r="BD17" s="173">
        <f t="shared" ca="1" si="19"/>
        <v>8.3125757575757611</v>
      </c>
      <c r="BE17" s="173">
        <f t="shared" ca="1" si="19"/>
        <v>11.083434343434348</v>
      </c>
      <c r="BF17" s="173">
        <f t="shared" ca="1" si="19"/>
        <v>11.083434343434348</v>
      </c>
      <c r="BG17" s="180"/>
      <c r="BH17" s="180"/>
      <c r="BI17" s="166">
        <f t="shared" ca="1" si="10"/>
        <v>35.986393162393171</v>
      </c>
      <c r="BJ17" s="167">
        <f ca="1">IF((INDEX($AA$4:$AA$7,MATCH(INDOOR_1,$Z$4:$Z$7))*(INDEX($X$118:$X$137,MATCH($AD17,$W$118:$W$137,1))/(INDEX($AA$4:$AA$7,MATCH(INDOOR_1,$Z$4:$Z$7))+INDEX($AA$4:$AA$7,MATCH(INDOOR_2,$Z$4:$Z$7))+INDEX($AA$4:$AA$7,MATCH(INDOOR_3,$Z$4:$Z$7)))))
&gt;BP17,BP17,
(INDEX($AA$4:$AA$7,MATCH(INDOOR_1,$Z$4:$Z$7))*(INDEX($X$118:$X$137,MATCH($AD17,$W$118:$W$137,1))/(INDEX($AA$4:$AA$7,MATCH(INDOOR_1,$Z$4:$Z$7))+INDEX($AA$4:$AA$7,MATCH(INDOOR_2,$Z$4:$Z$7))+INDEX($AA$4:$AA$7,MATCH(INDOOR_3,$Z$4:$Z$7))))))</f>
        <v>9.8144708624708645</v>
      </c>
      <c r="BK17" s="167">
        <f ca="1">IF((INDEX($AA$4:$AA$7,MATCH(INDOOR_2,$Z$4:$Z$7))*(INDEX($X$118:$X$137,MATCH($AD17,$W$118:$W$137,1))/(INDEX($AA$4:$AA$7,MATCH(INDOOR_1,$Z$4:$Z$7))+INDEX($AA$4:$AA$7,MATCH(INDOOR_2,$Z$4:$Z$7))+INDEX($AA$4:$AA$7,MATCH(INDOOR_3,$Z$4:$Z$7)))))
&gt;BQ17,BQ17,
(INDEX($AA$4:$AA$7,MATCH(INDOOR_2,$Z$4:$Z$7))*(INDEX($X$118:$X$137,MATCH($AD17,$W$118:$W$137,1))/(INDEX($AA$4:$AA$7,MATCH(INDOOR_1,$Z$4:$Z$7))+INDEX($AA$4:$AA$7,MATCH(INDOOR_2,$Z$4:$Z$7))+INDEX($AA$4:$AA$7,MATCH(INDOOR_3,$Z$4:$Z$7))))))</f>
        <v>13.085961149961152</v>
      </c>
      <c r="BL17" s="167">
        <f ca="1">IF((INDEX($AA$4:$AA$7,MATCH(INDOOR_3,$Z$4:$Z$7))*(INDEX($X$118:$X$137,MATCH($AD17,$W$118:$W$137,1))/(INDEX($AA$4:$AA$7,MATCH(INDOOR_1,$Z$4:$Z$7))+INDEX($AA$4:$AA$7,MATCH(INDOOR_2,$Z$4:$Z$7))+INDEX($AA$4:$AA$7,MATCH(INDOOR_3,$Z$4:$Z$7)))))
&gt;BR17,BR17,
(INDEX($AA$4:$AA$7,MATCH(INDOOR_3,$Z$4:$Z$7))*(INDEX($X$118:$X$137,MATCH($AD17,$W$118:$W$137,1))/(INDEX($AA$4:$AA$7,MATCH(INDOOR_1,$Z$4:$Z$7))+INDEX($AA$4:$AA$7,MATCH(INDOOR_2,$Z$4:$Z$7))+INDEX($AA$4:$AA$7,MATCH(INDOOR_3,$Z$4:$Z$7))))))</f>
        <v>13.085961149961152</v>
      </c>
      <c r="BM17" s="178"/>
      <c r="BN17" s="178"/>
      <c r="BO17" s="169">
        <f t="shared" ca="1" si="13"/>
        <v>41.84607179487179</v>
      </c>
      <c r="BP17" s="170">
        <f ca="1">INDEX('Cap based on indoor unit SZ'!$V$43:$V$58,MATCH(AE17,'Cap based on indoor unit SZ'!$U$43:$U$58))</f>
        <v>11.956020512820512</v>
      </c>
      <c r="BQ17" s="170">
        <f ca="1">INDEX('Cap based on indoor unit SZ'!$V$43:$V$58,MATCH(AF17,'Cap based on indoor unit SZ'!$U$43:$U$58))</f>
        <v>14.945025641025641</v>
      </c>
      <c r="BR17" s="170">
        <f ca="1">INDEX('Cap based on indoor unit SZ'!$V$43:$V$58,MATCH(AG17,'Cap based on indoor unit SZ'!$U$43:$U$58))</f>
        <v>14.945025641025641</v>
      </c>
      <c r="BS17" s="179"/>
      <c r="BT17" s="179"/>
      <c r="BU17" s="175">
        <v>8500</v>
      </c>
      <c r="BV17" s="175">
        <v>11500</v>
      </c>
      <c r="BW17" s="175">
        <v>11500</v>
      </c>
      <c r="BX17" s="179"/>
      <c r="BY17" s="179"/>
      <c r="BZ17" s="172">
        <f t="shared" ca="1" si="14"/>
        <v>35.986393162393171</v>
      </c>
      <c r="CA17" s="173">
        <f ca="1">(INDEX($AA$4:$AA$7,MATCH(INDOOR_1,$Z$4:$Z$7))*(INDEX($X$118:$X$137,MATCH($AD17,$W$118:$W$137,1))/(INDEX($AA$4:$AA$7,MATCH(INDOOR_1,$Z$4:$Z$7))+INDEX($AA$4:$AA$7,MATCH(INDOOR_2,$Z$4:$Z$7))+INDEX($AA$4:$AA$7,MATCH(INDOOR_3,$Z$4:$Z$7)))))</f>
        <v>9.8144708624708645</v>
      </c>
      <c r="CB17" s="173">
        <f ca="1">(INDEX($AA$4:$AA$7,MATCH(INDOOR_2,$Z$4:$Z$7))*(INDEX($X$118:$X$137,MATCH($AD17,$W$118:$W$137,1))/(INDEX($AA$4:$AA$7,MATCH(INDOOR_1,$Z$4:$Z$7))+INDEX($AA$4:$AA$7,MATCH(INDOOR_2,$Z$4:$Z$7))+INDEX($AA$4:$AA$7,MATCH(INDOOR_3,$Z$4:$Z$7)))))</f>
        <v>13.085961149961152</v>
      </c>
      <c r="CC17" s="173">
        <f ca="1">(INDEX($AA$4:$AA$7,MATCH(INDOOR_3,$Z$4:$Z$7))*(INDEX($X$118:$X$137,MATCH($AD17,$W$118:$W$137,1))/(INDEX($AA$4:$AA$7,MATCH(INDOOR_1,$Z$4:$Z$7))+INDEX($AA$4:$AA$7,MATCH(INDOOR_2,$Z$4:$Z$7))+INDEX($AA$4:$AA$7,MATCH(INDOOR_3,$Z$4:$Z$7)))))</f>
        <v>13.085961149961152</v>
      </c>
      <c r="CD17" s="180"/>
      <c r="CE17" s="180"/>
      <c r="CF17" s="166">
        <f t="shared" ca="1" si="17"/>
        <v>23.193186751653581</v>
      </c>
      <c r="CG17" s="167">
        <f t="shared" ca="1" si="18"/>
        <v>6.3254145686327945</v>
      </c>
      <c r="CH17" s="167">
        <f t="shared" ca="1" si="18"/>
        <v>8.4338860915103933</v>
      </c>
      <c r="CI17" s="167">
        <f ca="1">AN17*(INDEX($X$67:$X$86,MATCH($AD17,$W$67:$W$86,1)))</f>
        <v>8.4338860915103933</v>
      </c>
      <c r="CJ17" s="178"/>
      <c r="CK17" s="178"/>
    </row>
    <row r="18" spans="1:89">
      <c r="A18" s="4"/>
      <c r="AC18" s="164" t="s">
        <v>217</v>
      </c>
      <c r="AD18" s="164">
        <v>24</v>
      </c>
      <c r="AE18" s="165">
        <v>12</v>
      </c>
      <c r="AF18" s="165">
        <v>12</v>
      </c>
      <c r="AG18" s="165">
        <v>12</v>
      </c>
      <c r="AH18" s="164"/>
      <c r="AI18" s="164"/>
      <c r="AJ18" s="501"/>
      <c r="AK18" s="166">
        <f t="shared" ca="1" si="2"/>
        <v>30.479444444444454</v>
      </c>
      <c r="AL18" s="167">
        <f ca="1">IF((INDEX($AA$4:$AA$7,MATCH(INDOOR_1,$Z$4:$Z$7))*(INDEX($X$27:$X$46,MATCH($AD18,$W$27:$W$46,1))/(INDEX($AA$4:$AA$7,MATCH(INDOOR_1,$Z$4:$Z$7))+INDEX($AA$4:$AA$7,MATCH(INDOOR_2,$Z$4:$Z$7))+INDEX($AA$4:$AA$7,MATCH(INDOOR_3,$Z$4:$Z$7)))))
&gt;AR18,AR18,
(INDEX($AA$4:$AA$7,MATCH(INDOOR_1,$Z$4:$Z$7))*(INDEX($X$27:$X$46,MATCH($AD18,$W$27:$W$46,1))/(INDEX($AA$4:$AA$7,MATCH(INDOOR_1,$Z$4:$Z$7))+INDEX($AA$4:$AA$7,MATCH(INDOOR_2,$Z$4:$Z$7))+INDEX($AA$4:$AA$7,MATCH(INDOOR_3,$Z$4:$Z$7))))))</f>
        <v>10.159814814814817</v>
      </c>
      <c r="AM18" s="167">
        <f ca="1">IF((INDEX($AA$4:$AA$7,MATCH(INDOOR_2,$Z$4:$Z$7))*(INDEX($X$27:$X$46,MATCH($AD18,$W$27:$W$46,1))/(INDEX($AA$4:$AA$7,MATCH(INDOOR_1,$Z$4:$Z$7))+INDEX($AA$4:$AA$7,MATCH(INDOOR_2,$Z$4:$Z$7))+INDEX($AA$4:$AA$7,MATCH(INDOOR_3,$Z$4:$Z$7)))))
&gt;AS18,AS18,
(INDEX($AA$4:$AA$7,MATCH(INDOOR_2,$Z$4:$Z$7))*(INDEX($X$27:$X$46,MATCH($AD18,$W$27:$W$46,1))/(INDEX($AA$4:$AA$7,MATCH(INDOOR_1,$Z$4:$Z$7))+INDEX($AA$4:$AA$7,MATCH(INDOOR_2,$Z$4:$Z$7))+INDEX($AA$4:$AA$7,MATCH(INDOOR_3,$Z$4:$Z$7))))))</f>
        <v>10.159814814814817</v>
      </c>
      <c r="AN18" s="167">
        <f ca="1">IF((INDEX($AA$4:$AA$7,MATCH(INDOOR_3,$Z$4:$Z$7))*(INDEX($X$27:$X$46,MATCH($AD18,$W$27:$W$46,1))/(INDEX($AA$4:$AA$7,MATCH(INDOOR_1,$Z$4:$Z$7))+INDEX($AA$4:$AA$7,MATCH(INDOOR_2,$Z$4:$Z$7))+INDEX($AA$4:$AA$7,MATCH(INDOOR_3,$Z$4:$Z$7)))))
&gt;AT18,AT18,
(INDEX($AA$4:$AA$7,MATCH(INDOOR_3,$Z$4:$Z$7))*(INDEX($X$27:$X$46,MATCH($AD18,$W$27:$W$46,1))/(INDEX($AA$4:$AA$7,MATCH(INDOOR_1,$Z$4:$Z$7))+INDEX($AA$4:$AA$7,MATCH(INDOOR_2,$Z$4:$Z$7))+INDEX($AA$4:$AA$7,MATCH(INDOOR_3,$Z$4:$Z$7))))))</f>
        <v>10.159814814814817</v>
      </c>
      <c r="AO18" s="178"/>
      <c r="AP18" s="178"/>
      <c r="AQ18" s="169">
        <f t="shared" ca="1" si="5"/>
        <v>39.236666666666672</v>
      </c>
      <c r="AR18" s="170">
        <f ca="1">INDEX('Cap based on indoor unit SZ'!$J$6:$J$21,MATCH(AE18,'Cap based on indoor unit SZ'!$I$6:$I$21))</f>
        <v>13.078888888888891</v>
      </c>
      <c r="AS18" s="170">
        <f ca="1">INDEX('Cap based on indoor unit SZ'!$J$6:$J$21,MATCH(AF18,'Cap based on indoor unit SZ'!$I$6:$I$21))</f>
        <v>13.078888888888891</v>
      </c>
      <c r="AT18" s="170">
        <f ca="1">INDEX('Cap based on indoor unit SZ'!$J$6:$J$21,MATCH(AG18,'Cap based on indoor unit SZ'!$I$6:$I$21))</f>
        <v>13.078888888888891</v>
      </c>
      <c r="AU18" s="179"/>
      <c r="AV18" s="179"/>
      <c r="AW18" s="169">
        <f t="shared" si="6"/>
        <v>29.000999999999998</v>
      </c>
      <c r="AX18" s="170">
        <v>9.6669999999999998</v>
      </c>
      <c r="AY18" s="170">
        <v>9.6669999999999998</v>
      </c>
      <c r="AZ18" s="170">
        <v>9.6669999999999998</v>
      </c>
      <c r="BA18" s="179"/>
      <c r="BB18" s="179"/>
      <c r="BC18" s="172">
        <f t="shared" ca="1" si="7"/>
        <v>30.479444444444454</v>
      </c>
      <c r="BD18" s="173">
        <f t="shared" ca="1" si="19"/>
        <v>10.159814814814817</v>
      </c>
      <c r="BE18" s="173">
        <f t="shared" ca="1" si="19"/>
        <v>10.159814814814817</v>
      </c>
      <c r="BF18" s="173">
        <f t="shared" ca="1" si="19"/>
        <v>10.159814814814817</v>
      </c>
      <c r="BG18" s="180"/>
      <c r="BH18" s="180"/>
      <c r="BI18" s="166">
        <f t="shared" ca="1" si="10"/>
        <v>35.986393162393163</v>
      </c>
      <c r="BJ18" s="167">
        <f ca="1">IF((INDEX($AA$4:$AA$7,MATCH(INDOOR_1,$Z$4:$Z$7))*(INDEX($X$118:$X$137,MATCH($AD18,$W$118:$W$137,1))/(INDEX($AA$4:$AA$7,MATCH(INDOOR_1,$Z$4:$Z$7))+INDEX($AA$4:$AA$7,MATCH(INDOOR_2,$Z$4:$Z$7))+INDEX($AA$4:$AA$7,MATCH(INDOOR_3,$Z$4:$Z$7)))))
&gt;BP18,BP18,
(INDEX($AA$4:$AA$7,MATCH(INDOOR_1,$Z$4:$Z$7))*(INDEX($X$118:$X$137,MATCH($AD18,$W$118:$W$137,1))/(INDEX($AA$4:$AA$7,MATCH(INDOOR_1,$Z$4:$Z$7))+INDEX($AA$4:$AA$7,MATCH(INDOOR_2,$Z$4:$Z$7))+INDEX($AA$4:$AA$7,MATCH(INDOOR_3,$Z$4:$Z$7))))))</f>
        <v>11.995464387464388</v>
      </c>
      <c r="BK18" s="167">
        <f ca="1">IF((INDEX($AA$4:$AA$7,MATCH(INDOOR_2,$Z$4:$Z$7))*(INDEX($X$118:$X$137,MATCH($AD18,$W$118:$W$137,1))/(INDEX($AA$4:$AA$7,MATCH(INDOOR_1,$Z$4:$Z$7))+INDEX($AA$4:$AA$7,MATCH(INDOOR_2,$Z$4:$Z$7))+INDEX($AA$4:$AA$7,MATCH(INDOOR_3,$Z$4:$Z$7)))))
&gt;BQ18,BQ18,
(INDEX($AA$4:$AA$7,MATCH(INDOOR_2,$Z$4:$Z$7))*(INDEX($X$118:$X$137,MATCH($AD18,$W$118:$W$137,1))/(INDEX($AA$4:$AA$7,MATCH(INDOOR_1,$Z$4:$Z$7))+INDEX($AA$4:$AA$7,MATCH(INDOOR_2,$Z$4:$Z$7))+INDEX($AA$4:$AA$7,MATCH(INDOOR_3,$Z$4:$Z$7))))))</f>
        <v>11.995464387464388</v>
      </c>
      <c r="BL18" s="167">
        <f ca="1">IF((INDEX($AA$4:$AA$7,MATCH(INDOOR_3,$Z$4:$Z$7))*(INDEX($X$118:$X$137,MATCH($AD18,$W$118:$W$137,1))/(INDEX($AA$4:$AA$7,MATCH(INDOOR_1,$Z$4:$Z$7))+INDEX($AA$4:$AA$7,MATCH(INDOOR_2,$Z$4:$Z$7))+INDEX($AA$4:$AA$7,MATCH(INDOOR_3,$Z$4:$Z$7)))))
&gt;BR18,BR18,
(INDEX($AA$4:$AA$7,MATCH(INDOOR_3,$Z$4:$Z$7))*(INDEX($X$118:$X$137,MATCH($AD18,$W$118:$W$137,1))/(INDEX($AA$4:$AA$7,MATCH(INDOOR_1,$Z$4:$Z$7))+INDEX($AA$4:$AA$7,MATCH(INDOOR_2,$Z$4:$Z$7))+INDEX($AA$4:$AA$7,MATCH(INDOOR_3,$Z$4:$Z$7))))))</f>
        <v>11.995464387464388</v>
      </c>
      <c r="BM18" s="178"/>
      <c r="BN18" s="178"/>
      <c r="BO18" s="169">
        <f t="shared" ca="1" si="13"/>
        <v>44.835076923076926</v>
      </c>
      <c r="BP18" s="170">
        <f ca="1">INDEX('Cap based on indoor unit SZ'!$V$43:$V$58,MATCH(AE18,'Cap based on indoor unit SZ'!$U$43:$U$58))</f>
        <v>14.945025641025641</v>
      </c>
      <c r="BQ18" s="170">
        <f ca="1">INDEX('Cap based on indoor unit SZ'!$V$43:$V$58,MATCH(AF18,'Cap based on indoor unit SZ'!$U$43:$U$58))</f>
        <v>14.945025641025641</v>
      </c>
      <c r="BR18" s="170">
        <f ca="1">INDEX('Cap based on indoor unit SZ'!$V$43:$V$58,MATCH(AG18,'Cap based on indoor unit SZ'!$U$43:$U$58))</f>
        <v>14.945025641025641</v>
      </c>
      <c r="BS18" s="179"/>
      <c r="BT18" s="179"/>
      <c r="BU18" s="175">
        <v>10667</v>
      </c>
      <c r="BV18" s="175">
        <v>10667</v>
      </c>
      <c r="BW18" s="175">
        <v>10667</v>
      </c>
      <c r="BX18" s="179"/>
      <c r="BY18" s="179"/>
      <c r="BZ18" s="172">
        <f t="shared" ca="1" si="14"/>
        <v>35.986393162393163</v>
      </c>
      <c r="CA18" s="173">
        <f ca="1">(INDEX($AA$4:$AA$7,MATCH(INDOOR_1,$Z$4:$Z$7))*(INDEX($X$118:$X$137,MATCH($AD18,$W$118:$W$137,1))/(INDEX($AA$4:$AA$7,MATCH(INDOOR_1,$Z$4:$Z$7))+INDEX($AA$4:$AA$7,MATCH(INDOOR_2,$Z$4:$Z$7))+INDEX($AA$4:$AA$7,MATCH(INDOOR_3,$Z$4:$Z$7)))))</f>
        <v>11.995464387464388</v>
      </c>
      <c r="CB18" s="173">
        <f ca="1">(INDEX($AA$4:$AA$7,MATCH(INDOOR_2,$Z$4:$Z$7))*(INDEX($X$118:$X$137,MATCH($AD18,$W$118:$W$137,1))/(INDEX($AA$4:$AA$7,MATCH(INDOOR_1,$Z$4:$Z$7))+INDEX($AA$4:$AA$7,MATCH(INDOOR_2,$Z$4:$Z$7))+INDEX($AA$4:$AA$7,MATCH(INDOOR_3,$Z$4:$Z$7)))))</f>
        <v>11.995464387464388</v>
      </c>
      <c r="CC18" s="173">
        <f ca="1">(INDEX($AA$4:$AA$7,MATCH(INDOOR_3,$Z$4:$Z$7))*(INDEX($X$118:$X$137,MATCH($AD18,$W$118:$W$137,1))/(INDEX($AA$4:$AA$7,MATCH(INDOOR_1,$Z$4:$Z$7))+INDEX($AA$4:$AA$7,MATCH(INDOOR_2,$Z$4:$Z$7))+INDEX($AA$4:$AA$7,MATCH(INDOOR_3,$Z$4:$Z$7)))))</f>
        <v>11.995464387464388</v>
      </c>
      <c r="CD18" s="180"/>
      <c r="CE18" s="180"/>
      <c r="CF18" s="166">
        <f t="shared" ca="1" si="17"/>
        <v>23.193186751653577</v>
      </c>
      <c r="CG18" s="167">
        <f t="shared" ca="1" si="18"/>
        <v>7.7310622505511919</v>
      </c>
      <c r="CH18" s="167">
        <f t="shared" ca="1" si="18"/>
        <v>7.7310622505511919</v>
      </c>
      <c r="CI18" s="167">
        <f ca="1">AN18*(INDEX($X$67:$X$86,MATCH($AD18,$W$67:$W$86,1)))</f>
        <v>7.7310622505511919</v>
      </c>
      <c r="CJ18" s="178"/>
      <c r="CK18" s="178"/>
    </row>
    <row r="19" spans="1:89">
      <c r="A19" s="4"/>
      <c r="AC19" s="160" t="s">
        <v>47</v>
      </c>
      <c r="AD19" s="160">
        <v>30</v>
      </c>
      <c r="AE19" s="160"/>
      <c r="AF19" s="160"/>
      <c r="AG19" s="160"/>
      <c r="AH19" s="160"/>
      <c r="AI19" s="160"/>
      <c r="AJ19" s="176"/>
      <c r="AK19" s="166"/>
      <c r="AL19" s="272" t="s">
        <v>60</v>
      </c>
      <c r="AM19" s="272" t="s">
        <v>61</v>
      </c>
      <c r="AN19" s="272" t="s">
        <v>62</v>
      </c>
      <c r="AO19" s="272" t="s">
        <v>63</v>
      </c>
      <c r="AP19" s="272" t="s">
        <v>64</v>
      </c>
      <c r="AQ19" s="169"/>
      <c r="AR19" s="160" t="s">
        <v>60</v>
      </c>
      <c r="AS19" s="160" t="s">
        <v>61</v>
      </c>
      <c r="AT19" s="160" t="s">
        <v>62</v>
      </c>
      <c r="AU19" s="160" t="s">
        <v>63</v>
      </c>
      <c r="AV19" s="160" t="s">
        <v>64</v>
      </c>
      <c r="AW19" s="169"/>
      <c r="AX19" s="160" t="s">
        <v>60</v>
      </c>
      <c r="AY19" s="160" t="s">
        <v>61</v>
      </c>
      <c r="AZ19" s="160" t="s">
        <v>62</v>
      </c>
      <c r="BA19" s="160" t="s">
        <v>63</v>
      </c>
      <c r="BB19" s="160" t="s">
        <v>64</v>
      </c>
      <c r="BC19" s="172"/>
      <c r="BD19" s="274" t="s">
        <v>60</v>
      </c>
      <c r="BE19" s="274" t="s">
        <v>61</v>
      </c>
      <c r="BF19" s="274" t="s">
        <v>62</v>
      </c>
      <c r="BG19" s="274" t="s">
        <v>63</v>
      </c>
      <c r="BH19" s="274" t="s">
        <v>64</v>
      </c>
      <c r="BI19" s="166"/>
      <c r="BJ19" s="272" t="s">
        <v>60</v>
      </c>
      <c r="BK19" s="272" t="s">
        <v>61</v>
      </c>
      <c r="BL19" s="272" t="s">
        <v>62</v>
      </c>
      <c r="BM19" s="272" t="s">
        <v>63</v>
      </c>
      <c r="BN19" s="272" t="s">
        <v>64</v>
      </c>
      <c r="BO19" s="169"/>
      <c r="BP19" s="160" t="s">
        <v>60</v>
      </c>
      <c r="BQ19" s="160" t="s">
        <v>61</v>
      </c>
      <c r="BR19" s="160" t="s">
        <v>62</v>
      </c>
      <c r="BS19" s="160" t="s">
        <v>63</v>
      </c>
      <c r="BT19" s="160" t="s">
        <v>64</v>
      </c>
      <c r="BU19" s="160" t="s">
        <v>60</v>
      </c>
      <c r="BV19" s="160" t="s">
        <v>61</v>
      </c>
      <c r="BW19" s="160" t="s">
        <v>62</v>
      </c>
      <c r="BX19" s="160" t="s">
        <v>63</v>
      </c>
      <c r="BY19" s="160" t="s">
        <v>64</v>
      </c>
      <c r="BZ19" s="172"/>
      <c r="CA19" s="274" t="s">
        <v>60</v>
      </c>
      <c r="CB19" s="274" t="s">
        <v>61</v>
      </c>
      <c r="CC19" s="274" t="s">
        <v>62</v>
      </c>
      <c r="CD19" s="274" t="s">
        <v>63</v>
      </c>
      <c r="CE19" s="274" t="s">
        <v>64</v>
      </c>
      <c r="CF19" s="166"/>
      <c r="CG19" s="272" t="s">
        <v>60</v>
      </c>
      <c r="CH19" s="272" t="s">
        <v>61</v>
      </c>
      <c r="CI19" s="272" t="s">
        <v>62</v>
      </c>
      <c r="CJ19" s="272" t="s">
        <v>63</v>
      </c>
      <c r="CK19" s="272" t="s">
        <v>64</v>
      </c>
    </row>
    <row r="20" spans="1:89">
      <c r="A20" s="4"/>
      <c r="AC20" s="164" t="s">
        <v>230</v>
      </c>
      <c r="AD20" s="164">
        <v>30</v>
      </c>
      <c r="AE20" s="165">
        <v>9</v>
      </c>
      <c r="AF20" s="165">
        <v>9</v>
      </c>
      <c r="AG20" s="165"/>
      <c r="AH20" s="164"/>
      <c r="AI20" s="164"/>
      <c r="AJ20" s="510">
        <v>2</v>
      </c>
      <c r="AK20" s="166">
        <f t="shared" ref="AK20:AK46" ca="1" si="20">SUM(AL20:AP20)</f>
        <v>20.926222222222222</v>
      </c>
      <c r="AL20" s="167">
        <f t="shared" ref="AL20:AL27" ca="1" si="21">IF((INDEX($AA$4:$AA$7,MATCH(INDOOR_1,$Z$4:$Z$7))*(INDEX($X$27:$X$46,MATCH($AD20,$W$27:$W$46,1))/(INDEX($AA$4:$AA$7,MATCH(INDOOR_1,$Z$4:$Z$7))+INDEX($AA$4:$AA$7,MATCH(INDOOR_2,$Z$4:$Z$7)))))
&gt;AR20,AR20,
(INDEX($AA$4:$AA$7,MATCH(INDOOR_1,$Z$4:$Z$7))*(INDEX($X$27:$X$46,MATCH($AD20,$W$27:$W$46,1))/(INDEX($AA$4:$AA$7,MATCH(INDOOR_1,$Z$4:$Z$7))+INDEX($AA$4:$AA$7,MATCH(INDOOR_2,$Z$4:$Z$7))))))</f>
        <v>10.463111111111111</v>
      </c>
      <c r="AM20" s="167">
        <f t="shared" ref="AM20:AM27" ca="1" si="22">IF((INDEX($AA$4:$AA$7,MATCH(INDOOR_2,$Z$4:$Z$7))*(INDEX($X$27:$X$46,MATCH($AD20,$W$27:$W$46,1))/(INDEX($AA$4:$AA$7,MATCH(INDOOR_1,$Z$4:$Z$7))+INDEX($AA$4:$AA$7,MATCH(INDOOR_2,$Z$4:$Z$7)))))
&gt;AS20,AS20,
(INDEX($AA$4:$AA$7,MATCH(INDOOR_2,$Z$4:$Z$7))*(INDEX($X$27:$X$46,MATCH($AD20,$W$27:$W$46,1))/(INDEX($AA$4:$AA$7,MATCH(INDOOR_1,$Z$4:$Z$7))+INDEX($AA$4:$AA$7,MATCH(INDOOR_2,$Z$4:$Z$7))))))</f>
        <v>10.463111111111111</v>
      </c>
      <c r="AN20" s="178"/>
      <c r="AO20" s="178"/>
      <c r="AP20" s="178"/>
      <c r="AQ20" s="169">
        <f t="shared" ref="AQ20:AQ46" ca="1" si="23">SUM(AR20:AV20)</f>
        <v>20.926222222222222</v>
      </c>
      <c r="AR20" s="170">
        <f ca="1">INDEX('Cap based on indoor unit SZ'!$J$6:$J$21,MATCH(AE20,'Cap based on indoor unit SZ'!$I$6:$I$21))</f>
        <v>10.463111111111111</v>
      </c>
      <c r="AS20" s="170">
        <f ca="1">INDEX('Cap based on indoor unit SZ'!$J$6:$J$21,MATCH(AF20,'Cap based on indoor unit SZ'!$I$6:$I$21))</f>
        <v>10.463111111111111</v>
      </c>
      <c r="AT20" s="179"/>
      <c r="AU20" s="179"/>
      <c r="AV20" s="179"/>
      <c r="AW20" s="169">
        <f t="shared" ref="AW20:AW46" si="24">SUM(AX20:BB20)</f>
        <v>20</v>
      </c>
      <c r="AX20" s="170">
        <v>10</v>
      </c>
      <c r="AY20" s="170">
        <v>10</v>
      </c>
      <c r="AZ20" s="179"/>
      <c r="BA20" s="179"/>
      <c r="BB20" s="179"/>
      <c r="BC20" s="172">
        <f t="shared" ref="BC20:BC46" ca="1" si="25">SUM(BD20:BH20)</f>
        <v>37.90944444444446</v>
      </c>
      <c r="BD20" s="173">
        <f t="shared" ref="BD20:BD27" ca="1" si="26">(INDEX($AA$4:$AA$7,MATCH(AE20,$Z$4:$Z$7))*(INDEX($X$27:$X$46,MATCH($AD20,$W$27:$W$46,1))/(INDEX($AA$4:$AA$7,MATCH(AE20,$Z$4:$Z$7))+INDEX($AA$4:$AA$7,MATCH(AF20,$Z$4:$Z$7)))))</f>
        <v>18.95472222222223</v>
      </c>
      <c r="BE20" s="173">
        <f t="shared" ref="BE20:BE27" ca="1" si="27">(INDEX($AA$4:$AA$7,MATCH(AF20,$Z$4:$Z$7))*(INDEX($X$27:$X$46,MATCH($AD20,$W$27:$W$46,1))/(INDEX($AA$4:$AA$7,MATCH(AE20,$Z$4:$Z$7))+INDEX($AA$4:$AA$7,MATCH(AF20,$Z$4:$Z$7)))))</f>
        <v>18.95472222222223</v>
      </c>
      <c r="BF20" s="180"/>
      <c r="BG20" s="180"/>
      <c r="BH20" s="180"/>
      <c r="BI20" s="166">
        <f t="shared" ref="BI20:BI46" ca="1" si="28">SUM(BJ20:BN20)</f>
        <v>23.912041025641024</v>
      </c>
      <c r="BJ20" s="167">
        <f t="shared" ref="BJ20:BJ27" ca="1" si="29">IF((INDEX($AA$4:$AA$7,MATCH(INDOOR_1,$Z$4:$Z$7))*(INDEX($X$118:$X$137,MATCH($AD20,$W$118:$W$137,1))/(INDEX($AA$4:$AA$7,MATCH(INDOOR_1,$Z$4:$Z$7))+INDEX($AA$4:$AA$7,MATCH(INDOOR_2,$Z$4:$Z$7)))))
&gt;BP20,BP20,
(INDEX($AA$4:$AA$7,MATCH(INDOOR_1,$Z$4:$Z$7))*(INDEX($X$118:$X$137,MATCH($AD20,$W$118:$W$137,1))/(INDEX($AA$4:$AA$7,MATCH(INDOOR_1,$Z$4:$Z$7))+INDEX($AA$4:$AA$7,MATCH(INDOOR_2,$Z$4:$Z$7))))))</f>
        <v>11.956020512820512</v>
      </c>
      <c r="BK20" s="167">
        <f t="shared" ref="BK20:BK27" ca="1" si="30">IF((INDEX($AA$4:$AA$7,MATCH(INDOOR_2,$Z$4:$Z$7))*(INDEX($X$118:$X$137,MATCH($AD20,$W$118:$W$137,1))/(INDEX($AA$4:$AA$7,MATCH(INDOOR_1,$Z$4:$Z$7))+INDEX($AA$4:$AA$7,MATCH(INDOOR_2,$Z$4:$Z$7)))))
&gt;BQ20,BQ20,
(INDEX($AA$4:$AA$7,MATCH(INDOOR_2,$Z$4:$Z$7))*(INDEX($X$118:$X$137,MATCH($AD20,$W$118:$W$137,1))/(INDEX($AA$4:$AA$7,MATCH(INDOOR_1,$Z$4:$Z$7))+INDEX($AA$4:$AA$7,MATCH(INDOOR_2,$Z$4:$Z$7))))))</f>
        <v>11.956020512820512</v>
      </c>
      <c r="BL20" s="178"/>
      <c r="BM20" s="178"/>
      <c r="BN20" s="178"/>
      <c r="BO20" s="169">
        <f t="shared" ref="BO20:BO46" ca="1" si="31">SUM(BP20:BT20)</f>
        <v>23.912041025641024</v>
      </c>
      <c r="BP20" s="170">
        <f ca="1">INDEX('Cap based on indoor unit SZ'!$V$43:$V$58,MATCH(AE20,'Cap based on indoor unit SZ'!$U$43:$U$58))</f>
        <v>11.956020512820512</v>
      </c>
      <c r="BQ20" s="170">
        <f ca="1">INDEX('Cap based on indoor unit SZ'!$V$43:$V$58,MATCH(AF20,'Cap based on indoor unit SZ'!$U$43:$U$58))</f>
        <v>11.956020512820512</v>
      </c>
      <c r="BR20" s="179"/>
      <c r="BS20" s="179"/>
      <c r="BT20" s="179"/>
      <c r="BU20" s="175">
        <v>10500</v>
      </c>
      <c r="BV20" s="175">
        <v>10500</v>
      </c>
      <c r="BW20" s="179"/>
      <c r="BX20" s="179"/>
      <c r="BY20" s="179"/>
      <c r="BZ20" s="172">
        <f t="shared" ref="BZ20:BZ46" ca="1" si="32">SUM(CA20:CE20)</f>
        <v>36.900965811965811</v>
      </c>
      <c r="CA20" s="173">
        <f t="shared" ref="CA20:CA27" ca="1" si="33">(INDEX($AA$4:$AA$7,MATCH(INDOOR_1,$Z$4:$Z$7))*(INDEX($X$118:$X$137,MATCH($AD20,$W$118:$W$137,1))/(INDEX($AA$4:$AA$7,MATCH(INDOOR_1,$Z$4:$Z$7))+INDEX($AA$4:$AA$7,MATCH(INDOOR_2,$Z$4:$Z$7)))))</f>
        <v>18.450482905982906</v>
      </c>
      <c r="CB20" s="173">
        <f t="shared" ref="CB20:CB27" ca="1" si="34">(INDEX($AA$4:$AA$7,MATCH(INDOOR_2,$Z$4:$Z$7))*(INDEX($X$118:$X$137,MATCH($AD20,$W$118:$W$137,1))/(INDEX($AA$4:$AA$7,MATCH(INDOOR_1,$Z$4:$Z$7))+INDEX($AA$4:$AA$7,MATCH(INDOOR_2,$Z$4:$Z$7)))))</f>
        <v>18.450482905982906</v>
      </c>
      <c r="CC20" s="180"/>
      <c r="CD20" s="180"/>
      <c r="CE20" s="180"/>
      <c r="CF20" s="166">
        <f t="shared" ref="CF20:CF46" ca="1" si="35">SUM(CG20:CK20)</f>
        <v>16.218076080548169</v>
      </c>
      <c r="CG20" s="167">
        <f t="shared" ref="CG20:CJ46" ca="1" si="36">AL20*(INDEX($X$67:$X$86,MATCH($AD20,$W$67:$W$86,1)))</f>
        <v>8.1090380402740845</v>
      </c>
      <c r="CH20" s="167">
        <f t="shared" ca="1" si="36"/>
        <v>8.1090380402740845</v>
      </c>
      <c r="CI20" s="178"/>
      <c r="CJ20" s="178"/>
      <c r="CK20" s="178"/>
    </row>
    <row r="21" spans="1:89">
      <c r="A21" s="4"/>
      <c r="AC21" s="164" t="s">
        <v>228</v>
      </c>
      <c r="AD21" s="164">
        <v>30</v>
      </c>
      <c r="AE21" s="165">
        <v>9</v>
      </c>
      <c r="AF21" s="165">
        <v>12</v>
      </c>
      <c r="AG21" s="165"/>
      <c r="AH21" s="164"/>
      <c r="AI21" s="164"/>
      <c r="AJ21" s="510"/>
      <c r="AK21" s="166">
        <f t="shared" ca="1" si="20"/>
        <v>23.542000000000002</v>
      </c>
      <c r="AL21" s="167">
        <f t="shared" ca="1" si="21"/>
        <v>10.463111111111111</v>
      </c>
      <c r="AM21" s="167">
        <f t="shared" ca="1" si="22"/>
        <v>13.078888888888891</v>
      </c>
      <c r="AN21" s="178"/>
      <c r="AO21" s="178"/>
      <c r="AP21" s="178"/>
      <c r="AQ21" s="169">
        <f t="shared" ca="1" si="23"/>
        <v>23.542000000000002</v>
      </c>
      <c r="AR21" s="170">
        <f ca="1">INDEX('Cap based on indoor unit SZ'!$J$6:$J$21,MATCH(AE21,'Cap based on indoor unit SZ'!$I$6:$I$21))</f>
        <v>10.463111111111111</v>
      </c>
      <c r="AS21" s="170">
        <f ca="1">INDEX('Cap based on indoor unit SZ'!$J$6:$J$21,MATCH(AF21,'Cap based on indoor unit SZ'!$I$6:$I$21))</f>
        <v>13.078888888888891</v>
      </c>
      <c r="AT21" s="179"/>
      <c r="AU21" s="179"/>
      <c r="AV21" s="179"/>
      <c r="AW21" s="169">
        <f t="shared" si="24"/>
        <v>21.5</v>
      </c>
      <c r="AX21" s="170">
        <v>9.5</v>
      </c>
      <c r="AY21" s="170">
        <v>12</v>
      </c>
      <c r="AZ21" s="179"/>
      <c r="BA21" s="179"/>
      <c r="BB21" s="179"/>
      <c r="BC21" s="172">
        <f t="shared" ca="1" si="25"/>
        <v>37.90944444444446</v>
      </c>
      <c r="BD21" s="173">
        <f t="shared" ca="1" si="26"/>
        <v>16.246904761904769</v>
      </c>
      <c r="BE21" s="173">
        <f t="shared" ca="1" si="27"/>
        <v>21.662539682539691</v>
      </c>
      <c r="BF21" s="180"/>
      <c r="BG21" s="180"/>
      <c r="BH21" s="180"/>
      <c r="BI21" s="166">
        <f t="shared" ca="1" si="28"/>
        <v>26.901046153846153</v>
      </c>
      <c r="BJ21" s="167">
        <f t="shared" ca="1" si="29"/>
        <v>11.956020512820512</v>
      </c>
      <c r="BK21" s="167">
        <f t="shared" ca="1" si="30"/>
        <v>14.945025641025641</v>
      </c>
      <c r="BL21" s="178"/>
      <c r="BM21" s="178"/>
      <c r="BN21" s="178"/>
      <c r="BO21" s="169">
        <f t="shared" ca="1" si="31"/>
        <v>26.901046153846153</v>
      </c>
      <c r="BP21" s="170">
        <f ca="1">INDEX('Cap based on indoor unit SZ'!$V$43:$V$58,MATCH(AE21,'Cap based on indoor unit SZ'!$U$43:$U$58))</f>
        <v>11.956020512820512</v>
      </c>
      <c r="BQ21" s="170">
        <f ca="1">INDEX('Cap based on indoor unit SZ'!$V$43:$V$58,MATCH(AF21,'Cap based on indoor unit SZ'!$U$43:$U$58))</f>
        <v>14.945025641025641</v>
      </c>
      <c r="BR21" s="179"/>
      <c r="BS21" s="179"/>
      <c r="BT21" s="179"/>
      <c r="BU21" s="175">
        <v>10000</v>
      </c>
      <c r="BV21" s="175">
        <v>13000</v>
      </c>
      <c r="BW21" s="179"/>
      <c r="BX21" s="179"/>
      <c r="BY21" s="179"/>
      <c r="BZ21" s="172">
        <f t="shared" ca="1" si="32"/>
        <v>36.900965811965818</v>
      </c>
      <c r="CA21" s="173">
        <f t="shared" ca="1" si="33"/>
        <v>15.814699633699636</v>
      </c>
      <c r="CB21" s="173">
        <f t="shared" ca="1" si="34"/>
        <v>21.086266178266179</v>
      </c>
      <c r="CC21" s="180"/>
      <c r="CD21" s="180"/>
      <c r="CE21" s="180"/>
      <c r="CF21" s="166">
        <f t="shared" ca="1" si="35"/>
        <v>18.245335590616691</v>
      </c>
      <c r="CG21" s="167">
        <f t="shared" ca="1" si="36"/>
        <v>8.1090380402740845</v>
      </c>
      <c r="CH21" s="167">
        <f t="shared" ca="1" si="36"/>
        <v>10.136297550342608</v>
      </c>
      <c r="CI21" s="178"/>
      <c r="CJ21" s="178"/>
      <c r="CK21" s="178"/>
    </row>
    <row r="22" spans="1:89">
      <c r="A22" s="4"/>
      <c r="AC22" s="164" t="s">
        <v>188</v>
      </c>
      <c r="AD22" s="164">
        <v>30</v>
      </c>
      <c r="AE22" s="165">
        <v>9</v>
      </c>
      <c r="AF22" s="165">
        <v>18</v>
      </c>
      <c r="AG22" s="165"/>
      <c r="AH22" s="164"/>
      <c r="AI22" s="164"/>
      <c r="AJ22" s="510"/>
      <c r="AK22" s="166">
        <f t="shared" ca="1" si="20"/>
        <v>30.284222222222223</v>
      </c>
      <c r="AL22" s="167">
        <f t="shared" ca="1" si="21"/>
        <v>10.463111111111111</v>
      </c>
      <c r="AM22" s="167">
        <f t="shared" ca="1" si="22"/>
        <v>19.821111111111112</v>
      </c>
      <c r="AN22" s="178"/>
      <c r="AO22" s="178"/>
      <c r="AP22" s="178"/>
      <c r="AQ22" s="169">
        <f t="shared" ca="1" si="23"/>
        <v>30.284222222222223</v>
      </c>
      <c r="AR22" s="170">
        <f ca="1">INDEX('Cap based on indoor unit SZ'!$J$6:$J$21,MATCH(AE22,'Cap based on indoor unit SZ'!$I$6:$I$21))</f>
        <v>10.463111111111111</v>
      </c>
      <c r="AS22" s="170">
        <f ca="1">INDEX('Cap based on indoor unit SZ'!$J$6:$J$21,MATCH(AF22,'Cap based on indoor unit SZ'!$I$6:$I$21))</f>
        <v>19.821111111111112</v>
      </c>
      <c r="AT22" s="179"/>
      <c r="AU22" s="179"/>
      <c r="AV22" s="179"/>
      <c r="AW22" s="169">
        <f t="shared" si="24"/>
        <v>27.5</v>
      </c>
      <c r="AX22" s="170">
        <v>9.5</v>
      </c>
      <c r="AY22" s="170">
        <v>18</v>
      </c>
      <c r="AZ22" s="179"/>
      <c r="BA22" s="179"/>
      <c r="BB22" s="179"/>
      <c r="BC22" s="172">
        <f t="shared" ca="1" si="25"/>
        <v>37.90944444444446</v>
      </c>
      <c r="BD22" s="173">
        <f t="shared" ca="1" si="26"/>
        <v>12.636481481481487</v>
      </c>
      <c r="BE22" s="173">
        <f t="shared" ca="1" si="27"/>
        <v>25.272962962962975</v>
      </c>
      <c r="BF22" s="180"/>
      <c r="BG22" s="180"/>
      <c r="BH22" s="180"/>
      <c r="BI22" s="166">
        <f t="shared" ca="1" si="28"/>
        <v>36.554841025641025</v>
      </c>
      <c r="BJ22" s="167">
        <f t="shared" ca="1" si="29"/>
        <v>11.956020512820512</v>
      </c>
      <c r="BK22" s="167">
        <f t="shared" ca="1" si="30"/>
        <v>24.598820512820513</v>
      </c>
      <c r="BL22" s="178"/>
      <c r="BM22" s="178"/>
      <c r="BN22" s="178"/>
      <c r="BO22" s="169">
        <f t="shared" ca="1" si="31"/>
        <v>36.554841025641025</v>
      </c>
      <c r="BP22" s="170">
        <f ca="1">INDEX('Cap based on indoor unit SZ'!$V$43:$V$58,MATCH(AE22,'Cap based on indoor unit SZ'!$U$43:$U$58))</f>
        <v>11.956020512820512</v>
      </c>
      <c r="BQ22" s="170">
        <f ca="1">INDEX('Cap based on indoor unit SZ'!$V$43:$V$58,MATCH(AF22,'Cap based on indoor unit SZ'!$U$43:$U$58))</f>
        <v>24.598820512820513</v>
      </c>
      <c r="BR22" s="179"/>
      <c r="BS22" s="179"/>
      <c r="BT22" s="179"/>
      <c r="BU22" s="175">
        <v>10000</v>
      </c>
      <c r="BV22" s="175">
        <v>18000</v>
      </c>
      <c r="BW22" s="179"/>
      <c r="BX22" s="179"/>
      <c r="BY22" s="179"/>
      <c r="BZ22" s="172">
        <f t="shared" ca="1" si="32"/>
        <v>36.900965811965811</v>
      </c>
      <c r="CA22" s="173">
        <f t="shared" ca="1" si="33"/>
        <v>12.300321937321938</v>
      </c>
      <c r="CB22" s="173">
        <f t="shared" ca="1" si="34"/>
        <v>24.600643874643875</v>
      </c>
      <c r="CC22" s="180"/>
      <c r="CD22" s="180"/>
      <c r="CE22" s="180"/>
      <c r="CF22" s="166">
        <f t="shared" ca="1" si="35"/>
        <v>23.470639603485516</v>
      </c>
      <c r="CG22" s="167">
        <f t="shared" ca="1" si="36"/>
        <v>8.1090380402740845</v>
      </c>
      <c r="CH22" s="167">
        <f t="shared" ca="1" si="36"/>
        <v>15.36160156321143</v>
      </c>
      <c r="CI22" s="178"/>
      <c r="CJ22" s="178"/>
      <c r="CK22" s="178"/>
    </row>
    <row r="23" spans="1:89">
      <c r="B23" s="7" t="s">
        <v>8</v>
      </c>
      <c r="AC23" s="164" t="s">
        <v>187</v>
      </c>
      <c r="AD23" s="164">
        <v>30</v>
      </c>
      <c r="AE23" s="165">
        <v>9</v>
      </c>
      <c r="AF23" s="165">
        <v>24</v>
      </c>
      <c r="AG23" s="165"/>
      <c r="AH23" s="164"/>
      <c r="AI23" s="164"/>
      <c r="AJ23" s="510"/>
      <c r="AK23" s="166">
        <f t="shared" ca="1" si="20"/>
        <v>34.791161616161617</v>
      </c>
      <c r="AL23" s="167">
        <f t="shared" ca="1" si="21"/>
        <v>10.338939393939398</v>
      </c>
      <c r="AM23" s="167">
        <f t="shared" ca="1" si="22"/>
        <v>24.452222222222218</v>
      </c>
      <c r="AN23" s="178"/>
      <c r="AO23" s="178"/>
      <c r="AP23" s="178"/>
      <c r="AQ23" s="169">
        <f t="shared" ca="1" si="23"/>
        <v>34.915333333333329</v>
      </c>
      <c r="AR23" s="170">
        <f ca="1">INDEX('Cap based on indoor unit SZ'!$J$6:$J$21,MATCH(AE23,'Cap based on indoor unit SZ'!$I$6:$I$21))</f>
        <v>10.463111111111111</v>
      </c>
      <c r="AS23" s="170">
        <f ca="1">INDEX('Cap based on indoor unit SZ'!$J$6:$J$21,MATCH(AF23,'Cap based on indoor unit SZ'!$I$6:$I$21))</f>
        <v>24.452222222222218</v>
      </c>
      <c r="AT23" s="179"/>
      <c r="AU23" s="179"/>
      <c r="AV23" s="179"/>
      <c r="AW23" s="169">
        <f t="shared" si="24"/>
        <v>33</v>
      </c>
      <c r="AX23" s="170">
        <v>9</v>
      </c>
      <c r="AY23" s="170">
        <v>24</v>
      </c>
      <c r="AZ23" s="179"/>
      <c r="BA23" s="179"/>
      <c r="BB23" s="179"/>
      <c r="BC23" s="172">
        <f t="shared" ca="1" si="25"/>
        <v>37.90944444444446</v>
      </c>
      <c r="BD23" s="173">
        <f t="shared" ca="1" si="26"/>
        <v>10.338939393939398</v>
      </c>
      <c r="BE23" s="173">
        <f t="shared" ca="1" si="27"/>
        <v>27.570505050505062</v>
      </c>
      <c r="BF23" s="180"/>
      <c r="BG23" s="180"/>
      <c r="BH23" s="180"/>
      <c r="BI23" s="166">
        <f t="shared" ca="1" si="28"/>
        <v>36.900965811965811</v>
      </c>
      <c r="BJ23" s="167">
        <f t="shared" ca="1" si="29"/>
        <v>10.063899766899768</v>
      </c>
      <c r="BK23" s="167">
        <f t="shared" ca="1" si="30"/>
        <v>26.837066045066045</v>
      </c>
      <c r="BL23" s="178"/>
      <c r="BM23" s="178"/>
      <c r="BN23" s="178"/>
      <c r="BO23" s="169">
        <f t="shared" ca="1" si="31"/>
        <v>42.246020512820515</v>
      </c>
      <c r="BP23" s="170">
        <f ca="1">INDEX('Cap based on indoor unit SZ'!$V$43:$V$58,MATCH(AE23,'Cap based on indoor unit SZ'!$U$43:$U$58))</f>
        <v>11.956020512820512</v>
      </c>
      <c r="BQ23" s="170">
        <f ca="1">INDEX('Cap based on indoor unit SZ'!$V$43:$V$58,MATCH(AF23,'Cap based on indoor unit SZ'!$U$43:$U$58))</f>
        <v>30.290000000000003</v>
      </c>
      <c r="BR23" s="179"/>
      <c r="BS23" s="179"/>
      <c r="BT23" s="179"/>
      <c r="BU23" s="175">
        <v>10000</v>
      </c>
      <c r="BV23" s="175">
        <v>25000</v>
      </c>
      <c r="BW23" s="179"/>
      <c r="BX23" s="179"/>
      <c r="BY23" s="179"/>
      <c r="BZ23" s="172">
        <f t="shared" ca="1" si="32"/>
        <v>36.900965811965811</v>
      </c>
      <c r="CA23" s="173">
        <f t="shared" ca="1" si="33"/>
        <v>10.063899766899768</v>
      </c>
      <c r="CB23" s="173">
        <f t="shared" ca="1" si="34"/>
        <v>26.837066045066045</v>
      </c>
      <c r="CC23" s="180"/>
      <c r="CD23" s="180"/>
      <c r="CE23" s="180"/>
      <c r="CF23" s="166">
        <f t="shared" ca="1" si="35"/>
        <v>26.963572307970896</v>
      </c>
      <c r="CG23" s="167">
        <f t="shared" ca="1" si="36"/>
        <v>8.012803453125116</v>
      </c>
      <c r="CH23" s="167">
        <f t="shared" ca="1" si="36"/>
        <v>18.95076885484578</v>
      </c>
      <c r="CI23" s="178"/>
      <c r="CJ23" s="178"/>
      <c r="CK23" s="178"/>
    </row>
    <row r="24" spans="1:89">
      <c r="B24" s="527" t="s">
        <v>9</v>
      </c>
      <c r="C24" s="532" t="s">
        <v>1</v>
      </c>
      <c r="D24" s="532"/>
      <c r="E24" s="532"/>
      <c r="F24" s="505" t="s">
        <v>10</v>
      </c>
      <c r="G24" s="506"/>
      <c r="H24" s="506"/>
      <c r="I24" s="506"/>
      <c r="J24" s="506"/>
      <c r="K24" s="506"/>
      <c r="L24" s="506"/>
      <c r="M24" s="506"/>
      <c r="N24" s="506"/>
      <c r="O24" s="506"/>
      <c r="P24" s="506"/>
      <c r="Q24" s="507"/>
      <c r="R24" s="6"/>
      <c r="AC24" s="164" t="s">
        <v>227</v>
      </c>
      <c r="AD24" s="164">
        <v>30</v>
      </c>
      <c r="AE24" s="165">
        <v>12</v>
      </c>
      <c r="AF24" s="165">
        <v>12</v>
      </c>
      <c r="AG24" s="165"/>
      <c r="AH24" s="164"/>
      <c r="AI24" s="164"/>
      <c r="AJ24" s="501"/>
      <c r="AK24" s="166">
        <f t="shared" ca="1" si="20"/>
        <v>26.157777777777781</v>
      </c>
      <c r="AL24" s="167">
        <f t="shared" ca="1" si="21"/>
        <v>13.078888888888891</v>
      </c>
      <c r="AM24" s="167">
        <f t="shared" ca="1" si="22"/>
        <v>13.078888888888891</v>
      </c>
      <c r="AN24" s="178"/>
      <c r="AO24" s="178"/>
      <c r="AP24" s="178"/>
      <c r="AQ24" s="169">
        <f t="shared" ca="1" si="23"/>
        <v>26.157777777777781</v>
      </c>
      <c r="AR24" s="170">
        <f ca="1">INDEX('Cap based on indoor unit SZ'!$J$6:$J$21,MATCH(AE24,'Cap based on indoor unit SZ'!$I$6:$I$21))</f>
        <v>13.078888888888891</v>
      </c>
      <c r="AS24" s="170">
        <f ca="1">INDEX('Cap based on indoor unit SZ'!$J$6:$J$21,MATCH(AF24,'Cap based on indoor unit SZ'!$I$6:$I$21))</f>
        <v>13.078888888888891</v>
      </c>
      <c r="AT24" s="179"/>
      <c r="AU24" s="179"/>
      <c r="AV24" s="179"/>
      <c r="AW24" s="169">
        <f t="shared" si="24"/>
        <v>24</v>
      </c>
      <c r="AX24" s="170">
        <v>12</v>
      </c>
      <c r="AY24" s="170">
        <v>12</v>
      </c>
      <c r="AZ24" s="179"/>
      <c r="BA24" s="179"/>
      <c r="BB24" s="179"/>
      <c r="BC24" s="172">
        <f t="shared" ca="1" si="25"/>
        <v>37.90944444444446</v>
      </c>
      <c r="BD24" s="173">
        <f t="shared" ca="1" si="26"/>
        <v>18.95472222222223</v>
      </c>
      <c r="BE24" s="173">
        <f t="shared" ca="1" si="27"/>
        <v>18.95472222222223</v>
      </c>
      <c r="BF24" s="180"/>
      <c r="BG24" s="180"/>
      <c r="BH24" s="180"/>
      <c r="BI24" s="166">
        <f t="shared" ca="1" si="28"/>
        <v>29.890051282051282</v>
      </c>
      <c r="BJ24" s="167">
        <f t="shared" ca="1" si="29"/>
        <v>14.945025641025641</v>
      </c>
      <c r="BK24" s="167">
        <f t="shared" ca="1" si="30"/>
        <v>14.945025641025641</v>
      </c>
      <c r="BL24" s="178"/>
      <c r="BM24" s="178"/>
      <c r="BN24" s="178"/>
      <c r="BO24" s="169">
        <f t="shared" ca="1" si="31"/>
        <v>29.890051282051282</v>
      </c>
      <c r="BP24" s="170">
        <f ca="1">INDEX('Cap based on indoor unit SZ'!$V$43:$V$58,MATCH(AE24,'Cap based on indoor unit SZ'!$U$43:$U$58))</f>
        <v>14.945025641025641</v>
      </c>
      <c r="BQ24" s="170">
        <f ca="1">INDEX('Cap based on indoor unit SZ'!$V$43:$V$58,MATCH(AF24,'Cap based on indoor unit SZ'!$U$43:$U$58))</f>
        <v>14.945025641025641</v>
      </c>
      <c r="BR24" s="179"/>
      <c r="BS24" s="179"/>
      <c r="BT24" s="179"/>
      <c r="BU24" s="175">
        <v>13000</v>
      </c>
      <c r="BV24" s="175">
        <v>13000</v>
      </c>
      <c r="BW24" s="179"/>
      <c r="BX24" s="179"/>
      <c r="BY24" s="179"/>
      <c r="BZ24" s="172">
        <f t="shared" ca="1" si="32"/>
        <v>36.900965811965811</v>
      </c>
      <c r="CA24" s="173">
        <f t="shared" ca="1" si="33"/>
        <v>18.450482905982906</v>
      </c>
      <c r="CB24" s="173">
        <f t="shared" ca="1" si="34"/>
        <v>18.450482905982906</v>
      </c>
      <c r="CC24" s="180"/>
      <c r="CD24" s="180"/>
      <c r="CE24" s="180"/>
      <c r="CF24" s="166">
        <f t="shared" ca="1" si="35"/>
        <v>20.272595100685216</v>
      </c>
      <c r="CG24" s="167">
        <f t="shared" ca="1" si="36"/>
        <v>10.136297550342608</v>
      </c>
      <c r="CH24" s="167">
        <f t="shared" ca="1" si="36"/>
        <v>10.136297550342608</v>
      </c>
      <c r="CI24" s="178"/>
      <c r="CJ24" s="178"/>
      <c r="CK24" s="178"/>
    </row>
    <row r="25" spans="1:89">
      <c r="B25" s="527"/>
      <c r="C25" s="502" t="s">
        <v>11</v>
      </c>
      <c r="D25" s="502"/>
      <c r="E25" s="508"/>
      <c r="F25" s="152"/>
      <c r="G25" s="152"/>
      <c r="H25" s="152"/>
      <c r="I25" s="152"/>
      <c r="J25" s="152"/>
      <c r="K25" s="152"/>
      <c r="L25" s="152"/>
      <c r="M25" s="152"/>
      <c r="N25" s="152"/>
      <c r="O25" s="152"/>
      <c r="P25" s="152"/>
      <c r="Q25" s="152"/>
      <c r="R25" s="6"/>
      <c r="AA25" s="293"/>
      <c r="AC25" s="164" t="s">
        <v>224</v>
      </c>
      <c r="AD25" s="164">
        <v>30</v>
      </c>
      <c r="AE25" s="165">
        <v>12</v>
      </c>
      <c r="AF25" s="165">
        <v>18</v>
      </c>
      <c r="AG25" s="165"/>
      <c r="AH25" s="164"/>
      <c r="AI25" s="164"/>
      <c r="AJ25" s="501"/>
      <c r="AK25" s="166">
        <f t="shared" ca="1" si="20"/>
        <v>32.900000000000006</v>
      </c>
      <c r="AL25" s="167">
        <f t="shared" ca="1" si="21"/>
        <v>13.078888888888891</v>
      </c>
      <c r="AM25" s="167">
        <f t="shared" ca="1" si="22"/>
        <v>19.821111111111112</v>
      </c>
      <c r="AN25" s="178"/>
      <c r="AO25" s="178"/>
      <c r="AP25" s="178"/>
      <c r="AQ25" s="169">
        <f t="shared" ca="1" si="23"/>
        <v>32.900000000000006</v>
      </c>
      <c r="AR25" s="170">
        <f ca="1">INDEX('Cap based on indoor unit SZ'!$J$6:$J$21,MATCH(AE25,'Cap based on indoor unit SZ'!$I$6:$I$21))</f>
        <v>13.078888888888891</v>
      </c>
      <c r="AS25" s="170">
        <f ca="1">INDEX('Cap based on indoor unit SZ'!$J$6:$J$21,MATCH(AF25,'Cap based on indoor unit SZ'!$I$6:$I$21))</f>
        <v>19.821111111111112</v>
      </c>
      <c r="AT25" s="179"/>
      <c r="AU25" s="179"/>
      <c r="AV25" s="179"/>
      <c r="AW25" s="169">
        <f t="shared" si="24"/>
        <v>30</v>
      </c>
      <c r="AX25" s="170">
        <v>12</v>
      </c>
      <c r="AY25" s="170">
        <v>18</v>
      </c>
      <c r="AZ25" s="179"/>
      <c r="BA25" s="179"/>
      <c r="BB25" s="179"/>
      <c r="BC25" s="172">
        <f t="shared" ca="1" si="25"/>
        <v>37.90944444444446</v>
      </c>
      <c r="BD25" s="173">
        <f t="shared" ca="1" si="26"/>
        <v>15.163777777777785</v>
      </c>
      <c r="BE25" s="173">
        <f t="shared" ca="1" si="27"/>
        <v>22.745666666666679</v>
      </c>
      <c r="BF25" s="180"/>
      <c r="BG25" s="180"/>
      <c r="BH25" s="180"/>
      <c r="BI25" s="166">
        <f t="shared" ca="1" si="28"/>
        <v>36.900965811965818</v>
      </c>
      <c r="BJ25" s="167">
        <f t="shared" ca="1" si="29"/>
        <v>14.760386324786326</v>
      </c>
      <c r="BK25" s="167">
        <f t="shared" ca="1" si="30"/>
        <v>22.14057948717949</v>
      </c>
      <c r="BL25" s="178"/>
      <c r="BM25" s="178"/>
      <c r="BN25" s="178"/>
      <c r="BO25" s="169">
        <f t="shared" ca="1" si="31"/>
        <v>39.543846153846154</v>
      </c>
      <c r="BP25" s="170">
        <f ca="1">INDEX('Cap based on indoor unit SZ'!$V$43:$V$58,MATCH(AE25,'Cap based on indoor unit SZ'!$U$43:$U$58))</f>
        <v>14.945025641025641</v>
      </c>
      <c r="BQ25" s="170">
        <f ca="1">INDEX('Cap based on indoor unit SZ'!$V$43:$V$58,MATCH(AF25,'Cap based on indoor unit SZ'!$U$43:$U$58))</f>
        <v>24.598820512820513</v>
      </c>
      <c r="BR25" s="179"/>
      <c r="BS25" s="179"/>
      <c r="BT25" s="179"/>
      <c r="BU25" s="175">
        <v>13000</v>
      </c>
      <c r="BV25" s="175">
        <v>18000</v>
      </c>
      <c r="BW25" s="179"/>
      <c r="BX25" s="179"/>
      <c r="BY25" s="179"/>
      <c r="BZ25" s="172">
        <f t="shared" ca="1" si="32"/>
        <v>36.900965811965818</v>
      </c>
      <c r="CA25" s="173">
        <f t="shared" ca="1" si="33"/>
        <v>14.760386324786326</v>
      </c>
      <c r="CB25" s="173">
        <f t="shared" ca="1" si="34"/>
        <v>22.14057948717949</v>
      </c>
      <c r="CC25" s="180"/>
      <c r="CD25" s="180"/>
      <c r="CE25" s="180"/>
      <c r="CF25" s="166">
        <f t="shared" ca="1" si="35"/>
        <v>25.497899113554038</v>
      </c>
      <c r="CG25" s="167">
        <f t="shared" ca="1" si="36"/>
        <v>10.136297550342608</v>
      </c>
      <c r="CH25" s="167">
        <f t="shared" ca="1" si="36"/>
        <v>15.36160156321143</v>
      </c>
      <c r="CI25" s="178"/>
      <c r="CJ25" s="178"/>
      <c r="CK25" s="178"/>
    </row>
    <row r="26" spans="1:89" ht="14.4" thickBot="1">
      <c r="B26" s="527"/>
      <c r="C26" s="260" t="s">
        <v>13</v>
      </c>
      <c r="D26" s="260" t="s">
        <v>14</v>
      </c>
      <c r="E26" s="509"/>
      <c r="F26" s="185">
        <v>-13</v>
      </c>
      <c r="G26" s="185">
        <v>-4</v>
      </c>
      <c r="H26" s="186">
        <v>0</v>
      </c>
      <c r="I26" s="186">
        <v>5</v>
      </c>
      <c r="J26" s="186">
        <v>17</v>
      </c>
      <c r="K26" s="186">
        <v>47</v>
      </c>
      <c r="L26" s="187">
        <v>77</v>
      </c>
      <c r="M26" s="187">
        <v>86</v>
      </c>
      <c r="N26" s="187">
        <v>95</v>
      </c>
      <c r="O26" s="187">
        <v>104</v>
      </c>
      <c r="P26" s="187">
        <v>113</v>
      </c>
      <c r="Q26" s="187">
        <v>122.0001</v>
      </c>
      <c r="R26" s="6"/>
      <c r="S26" s="152"/>
      <c r="T26" s="153"/>
      <c r="U26" s="154"/>
      <c r="V26" s="154" t="s">
        <v>98</v>
      </c>
      <c r="W26" s="154" t="s">
        <v>76</v>
      </c>
      <c r="X26" s="154" t="s">
        <v>99</v>
      </c>
      <c r="AC26" s="164" t="s">
        <v>184</v>
      </c>
      <c r="AD26" s="164">
        <v>30</v>
      </c>
      <c r="AE26" s="165">
        <v>12</v>
      </c>
      <c r="AF26" s="165">
        <v>24</v>
      </c>
      <c r="AG26" s="165"/>
      <c r="AH26" s="164"/>
      <c r="AI26" s="164"/>
      <c r="AJ26" s="501"/>
      <c r="AK26" s="166">
        <f t="shared" ca="1" si="20"/>
        <v>37.0887037037037</v>
      </c>
      <c r="AL26" s="167">
        <f t="shared" ca="1" si="21"/>
        <v>12.636481481481486</v>
      </c>
      <c r="AM26" s="167">
        <f t="shared" ca="1" si="22"/>
        <v>24.452222222222218</v>
      </c>
      <c r="AN26" s="178"/>
      <c r="AO26" s="178"/>
      <c r="AP26" s="178"/>
      <c r="AQ26" s="169">
        <f t="shared" ca="1" si="23"/>
        <v>37.531111111111109</v>
      </c>
      <c r="AR26" s="170">
        <f ca="1">INDEX('Cap based on indoor unit SZ'!$J$6:$J$21,MATCH(AE26,'Cap based on indoor unit SZ'!$I$6:$I$21))</f>
        <v>13.078888888888891</v>
      </c>
      <c r="AS26" s="170">
        <f ca="1">INDEX('Cap based on indoor unit SZ'!$J$6:$J$21,MATCH(AF26,'Cap based on indoor unit SZ'!$I$6:$I$21))</f>
        <v>24.452222222222218</v>
      </c>
      <c r="AT26" s="179"/>
      <c r="AU26" s="179"/>
      <c r="AV26" s="179"/>
      <c r="AW26" s="169">
        <f t="shared" si="24"/>
        <v>34</v>
      </c>
      <c r="AX26" s="170">
        <v>11</v>
      </c>
      <c r="AY26" s="170">
        <v>23</v>
      </c>
      <c r="AZ26" s="179"/>
      <c r="BA26" s="179"/>
      <c r="BB26" s="179"/>
      <c r="BC26" s="172">
        <f t="shared" ca="1" si="25"/>
        <v>37.90944444444446</v>
      </c>
      <c r="BD26" s="173">
        <f t="shared" ca="1" si="26"/>
        <v>12.636481481481486</v>
      </c>
      <c r="BE26" s="173">
        <f t="shared" ca="1" si="27"/>
        <v>25.272962962962971</v>
      </c>
      <c r="BF26" s="180"/>
      <c r="BG26" s="180"/>
      <c r="BH26" s="180"/>
      <c r="BI26" s="166">
        <f t="shared" ca="1" si="28"/>
        <v>36.900965811965804</v>
      </c>
      <c r="BJ26" s="167">
        <f t="shared" ca="1" si="29"/>
        <v>12.300321937321936</v>
      </c>
      <c r="BK26" s="167">
        <f t="shared" ca="1" si="30"/>
        <v>24.600643874643872</v>
      </c>
      <c r="BL26" s="178"/>
      <c r="BM26" s="178"/>
      <c r="BN26" s="178"/>
      <c r="BO26" s="169">
        <f t="shared" ca="1" si="31"/>
        <v>45.235025641025643</v>
      </c>
      <c r="BP26" s="170">
        <f ca="1">INDEX('Cap based on indoor unit SZ'!$V$43:$V$58,MATCH(AE26,'Cap based on indoor unit SZ'!$U$43:$U$58))</f>
        <v>14.945025641025641</v>
      </c>
      <c r="BQ26" s="170">
        <f ca="1">INDEX('Cap based on indoor unit SZ'!$V$43:$V$58,MATCH(AF26,'Cap based on indoor unit SZ'!$U$43:$U$58))</f>
        <v>30.290000000000003</v>
      </c>
      <c r="BR26" s="179"/>
      <c r="BS26" s="179"/>
      <c r="BT26" s="179"/>
      <c r="BU26" s="175">
        <v>12000</v>
      </c>
      <c r="BV26" s="175">
        <v>24000</v>
      </c>
      <c r="BW26" s="179"/>
      <c r="BX26" s="179"/>
      <c r="BY26" s="179"/>
      <c r="BZ26" s="172">
        <f t="shared" ca="1" si="32"/>
        <v>36.900965811965804</v>
      </c>
      <c r="CA26" s="173">
        <f t="shared" ca="1" si="33"/>
        <v>12.300321937321936</v>
      </c>
      <c r="CB26" s="173">
        <f t="shared" ca="1" si="34"/>
        <v>24.600643874643872</v>
      </c>
      <c r="CC26" s="180"/>
      <c r="CD26" s="180"/>
      <c r="CE26" s="180"/>
      <c r="CF26" s="166">
        <f t="shared" ca="1" si="35"/>
        <v>28.744195297554253</v>
      </c>
      <c r="CG26" s="167">
        <f t="shared" ca="1" si="36"/>
        <v>9.7934264427084727</v>
      </c>
      <c r="CH26" s="167">
        <f t="shared" ca="1" si="36"/>
        <v>18.95076885484578</v>
      </c>
      <c r="CI26" s="178"/>
      <c r="CJ26" s="178"/>
      <c r="CK26" s="178"/>
    </row>
    <row r="27" spans="1:89">
      <c r="B27" s="188">
        <v>18</v>
      </c>
      <c r="C27" s="189">
        <v>69.8</v>
      </c>
      <c r="D27" s="189">
        <v>59</v>
      </c>
      <c r="E27" s="190" t="s">
        <v>15</v>
      </c>
      <c r="F27" s="191">
        <v>18.71</v>
      </c>
      <c r="G27" s="192">
        <v>19.254999999999999</v>
      </c>
      <c r="H27" s="192">
        <v>19.045000000000002</v>
      </c>
      <c r="I27" s="192">
        <v>19.005000000000003</v>
      </c>
      <c r="J27" s="192">
        <v>18.875</v>
      </c>
      <c r="K27" s="192">
        <v>19.905000000000001</v>
      </c>
      <c r="L27" s="193">
        <v>21.020000000000003</v>
      </c>
      <c r="M27" s="193">
        <v>19.204999999999998</v>
      </c>
      <c r="N27" s="193">
        <v>17.225000000000001</v>
      </c>
      <c r="O27" s="193">
        <v>11.64</v>
      </c>
      <c r="P27" s="193">
        <v>11.11</v>
      </c>
      <c r="Q27" s="194">
        <v>9.875</v>
      </c>
      <c r="R27" s="195">
        <f t="shared" ref="R27:R46" ca="1" si="37">FORECAST(Cool_Design_T,OFFSET(F27:Q27,0,MATCH(Cool_Design_T,$F$26:$Q$26,1)-1,1,2),OFFSET($F$26:$Q$26,0,MATCH(Cool_Design_T,$F$26:$Q$26,1)-1,1,2))</f>
        <v>17.225000000000009</v>
      </c>
      <c r="S27" s="145"/>
      <c r="T27" s="145"/>
      <c r="U27" s="146" t="s">
        <v>96</v>
      </c>
      <c r="V27" s="147">
        <f ca="1">FORECAST(INDOOR_DB,OFFSET(R27:R30,MATCH(INDOOR_DB,C27:C30,1)-1,0,2),OFFSET(C27:C30,MATCH(INDOOR_DB,C27:C30,1)-1,0,2))</f>
        <v>20.764444444444454</v>
      </c>
      <c r="W27" s="145">
        <f>B27</f>
        <v>18</v>
      </c>
      <c r="X27" s="147">
        <f ca="1">IF(OR(INDOOR_DB&lt;C27,INDOOR_DB&gt;C30),V29,V27)</f>
        <v>20.764444444444454</v>
      </c>
      <c r="AC27" s="164" t="s">
        <v>183</v>
      </c>
      <c r="AD27" s="164">
        <v>30</v>
      </c>
      <c r="AE27" s="165">
        <v>18</v>
      </c>
      <c r="AF27" s="165">
        <v>18</v>
      </c>
      <c r="AG27" s="165"/>
      <c r="AH27" s="164"/>
      <c r="AI27" s="164"/>
      <c r="AJ27" s="501"/>
      <c r="AK27" s="166">
        <f t="shared" ca="1" si="20"/>
        <v>37.90944444444446</v>
      </c>
      <c r="AL27" s="167">
        <f t="shared" ca="1" si="21"/>
        <v>18.95472222222223</v>
      </c>
      <c r="AM27" s="167">
        <f t="shared" ca="1" si="22"/>
        <v>18.95472222222223</v>
      </c>
      <c r="AN27" s="178"/>
      <c r="AO27" s="178"/>
      <c r="AP27" s="178"/>
      <c r="AQ27" s="169">
        <f t="shared" ca="1" si="23"/>
        <v>39.642222222222223</v>
      </c>
      <c r="AR27" s="170">
        <f ca="1">INDEX('Cap based on indoor unit SZ'!$J$6:$J$21,MATCH(AE27,'Cap based on indoor unit SZ'!$I$6:$I$21))</f>
        <v>19.821111111111112</v>
      </c>
      <c r="AS27" s="170">
        <f ca="1">INDEX('Cap based on indoor unit SZ'!$J$6:$J$21,MATCH(AF27,'Cap based on indoor unit SZ'!$I$6:$I$21))</f>
        <v>19.821111111111112</v>
      </c>
      <c r="AT27" s="179"/>
      <c r="AU27" s="179"/>
      <c r="AV27" s="179"/>
      <c r="AW27" s="169">
        <f t="shared" si="24"/>
        <v>33</v>
      </c>
      <c r="AX27" s="170">
        <v>16.5</v>
      </c>
      <c r="AY27" s="170">
        <v>16.5</v>
      </c>
      <c r="AZ27" s="179"/>
      <c r="BA27" s="179"/>
      <c r="BB27" s="179"/>
      <c r="BC27" s="172">
        <f t="shared" ca="1" si="25"/>
        <v>37.90944444444446</v>
      </c>
      <c r="BD27" s="173">
        <f t="shared" ca="1" si="26"/>
        <v>18.95472222222223</v>
      </c>
      <c r="BE27" s="173">
        <f t="shared" ca="1" si="27"/>
        <v>18.95472222222223</v>
      </c>
      <c r="BF27" s="180"/>
      <c r="BG27" s="180"/>
      <c r="BH27" s="180"/>
      <c r="BI27" s="166">
        <f t="shared" ca="1" si="28"/>
        <v>36.900965811965811</v>
      </c>
      <c r="BJ27" s="167">
        <f t="shared" ca="1" si="29"/>
        <v>18.450482905982906</v>
      </c>
      <c r="BK27" s="167">
        <f t="shared" ca="1" si="30"/>
        <v>18.450482905982906</v>
      </c>
      <c r="BL27" s="178"/>
      <c r="BM27" s="178"/>
      <c r="BN27" s="178"/>
      <c r="BO27" s="169">
        <f t="shared" ca="1" si="31"/>
        <v>49.197641025641026</v>
      </c>
      <c r="BP27" s="170">
        <f ca="1">INDEX('Cap based on indoor unit SZ'!$V$43:$V$58,MATCH(AE27,'Cap based on indoor unit SZ'!$U$43:$U$58))</f>
        <v>24.598820512820513</v>
      </c>
      <c r="BQ27" s="170">
        <f ca="1">INDEX('Cap based on indoor unit SZ'!$V$43:$V$58,MATCH(AF27,'Cap based on indoor unit SZ'!$U$43:$U$58))</f>
        <v>24.598820512820513</v>
      </c>
      <c r="BR27" s="179"/>
      <c r="BS27" s="179"/>
      <c r="BT27" s="179"/>
      <c r="BU27" s="175">
        <v>17000</v>
      </c>
      <c r="BV27" s="175">
        <v>17000</v>
      </c>
      <c r="BW27" s="179"/>
      <c r="BX27" s="179"/>
      <c r="BY27" s="179"/>
      <c r="BZ27" s="172">
        <f t="shared" ca="1" si="32"/>
        <v>36.900965811965811</v>
      </c>
      <c r="CA27" s="173">
        <f t="shared" ca="1" si="33"/>
        <v>18.450482905982906</v>
      </c>
      <c r="CB27" s="173">
        <f t="shared" ca="1" si="34"/>
        <v>18.450482905982906</v>
      </c>
      <c r="CC27" s="180"/>
      <c r="CD27" s="180"/>
      <c r="CE27" s="180"/>
      <c r="CF27" s="166">
        <f t="shared" ca="1" si="35"/>
        <v>29.380279328125422</v>
      </c>
      <c r="CG27" s="167">
        <f t="shared" ca="1" si="36"/>
        <v>14.690139664062711</v>
      </c>
      <c r="CH27" s="167">
        <f t="shared" ca="1" si="36"/>
        <v>14.690139664062711</v>
      </c>
      <c r="CI27" s="178"/>
      <c r="CJ27" s="178"/>
      <c r="CK27" s="178"/>
    </row>
    <row r="28" spans="1:89">
      <c r="B28" s="196">
        <v>18</v>
      </c>
      <c r="C28" s="197">
        <v>75.2</v>
      </c>
      <c r="D28" s="197">
        <v>62.6</v>
      </c>
      <c r="E28" s="198" t="s">
        <v>15</v>
      </c>
      <c r="F28" s="199">
        <v>20.149999999999999</v>
      </c>
      <c r="G28" s="200">
        <v>20.795000000000002</v>
      </c>
      <c r="H28" s="200">
        <v>20.564999999999998</v>
      </c>
      <c r="I28" s="200">
        <v>20.53</v>
      </c>
      <c r="J28" s="200">
        <v>20.384999999999998</v>
      </c>
      <c r="K28" s="200">
        <v>21.5</v>
      </c>
      <c r="L28" s="201">
        <v>22.7</v>
      </c>
      <c r="M28" s="201">
        <v>20.744999999999997</v>
      </c>
      <c r="N28" s="201">
        <v>18.600000000000001</v>
      </c>
      <c r="O28" s="201">
        <v>12.57</v>
      </c>
      <c r="P28" s="201">
        <v>12</v>
      </c>
      <c r="Q28" s="202">
        <v>10.130000000000001</v>
      </c>
      <c r="R28" s="203">
        <f t="shared" ca="1" si="37"/>
        <v>18.600000000000016</v>
      </c>
      <c r="S28" s="145"/>
      <c r="T28" s="145"/>
      <c r="U28" s="146"/>
      <c r="V28" s="148"/>
      <c r="W28" s="145"/>
      <c r="X28" s="152"/>
      <c r="AC28" s="164" t="s">
        <v>222</v>
      </c>
      <c r="AD28" s="164">
        <v>30</v>
      </c>
      <c r="AE28" s="165">
        <v>9</v>
      </c>
      <c r="AF28" s="165">
        <v>9</v>
      </c>
      <c r="AG28" s="165">
        <v>9</v>
      </c>
      <c r="AH28" s="164"/>
      <c r="AI28" s="164"/>
      <c r="AJ28" s="510">
        <v>3</v>
      </c>
      <c r="AK28" s="166">
        <f t="shared" ca="1" si="20"/>
        <v>31.389333333333333</v>
      </c>
      <c r="AL28" s="167">
        <f t="shared" ref="AL28:AL39" ca="1" si="38">IF((INDEX($AA$4:$AA$7,MATCH(INDOOR_1,$Z$4:$Z$7))*(INDEX($X$27:$X$46,MATCH($AD28,$W$27:$W$46,1))/(INDEX($AA$4:$AA$7,MATCH(INDOOR_1,$Z$4:$Z$7))+INDEX($AA$4:$AA$7,MATCH(INDOOR_2,$Z$4:$Z$7))+INDEX($AA$4:$AA$7,MATCH(INDOOR_3,$Z$4:$Z$7)))))
&gt;AR28,AR28,
(INDEX($AA$4:$AA$7,MATCH(INDOOR_1,$Z$4:$Z$7))*(INDEX($X$27:$X$46,MATCH($AD28,$W$27:$W$46,1))/(INDEX($AA$4:$AA$7,MATCH(INDOOR_1,$Z$4:$Z$7))+INDEX($AA$4:$AA$7,MATCH(INDOOR_2,$Z$4:$Z$7))+INDEX($AA$4:$AA$7,MATCH(INDOOR_3,$Z$4:$Z$7))))))</f>
        <v>10.463111111111111</v>
      </c>
      <c r="AM28" s="167">
        <f t="shared" ref="AM28:AM39" ca="1" si="39">IF((INDEX($AA$4:$AA$7,MATCH(INDOOR_2,$Z$4:$Z$7))*(INDEX($X$27:$X$46,MATCH($AD28,$W$27:$W$46,1))/(INDEX($AA$4:$AA$7,MATCH(INDOOR_1,$Z$4:$Z$7))+INDEX($AA$4:$AA$7,MATCH(INDOOR_2,$Z$4:$Z$7))+INDEX($AA$4:$AA$7,MATCH(INDOOR_3,$Z$4:$Z$7)))))
&gt;AS28,AS28,
(INDEX($AA$4:$AA$7,MATCH(INDOOR_2,$Z$4:$Z$7))*(INDEX($X$27:$X$46,MATCH($AD28,$W$27:$W$46,1))/(INDEX($AA$4:$AA$7,MATCH(INDOOR_1,$Z$4:$Z$7))+INDEX($AA$4:$AA$7,MATCH(INDOOR_2,$Z$4:$Z$7))+INDEX($AA$4:$AA$7,MATCH(INDOOR_3,$Z$4:$Z$7))))))</f>
        <v>10.463111111111111</v>
      </c>
      <c r="AN28" s="167">
        <f t="shared" ref="AN28:AN39" ca="1" si="40">IF((INDEX($AA$4:$AA$7,MATCH(INDOOR_3,$Z$4:$Z$7))*(INDEX($X$27:$X$46,MATCH($AD28,$W$27:$W$46,1))/(INDEX($AA$4:$AA$7,MATCH(INDOOR_1,$Z$4:$Z$7))+INDEX($AA$4:$AA$7,MATCH(INDOOR_2,$Z$4:$Z$7))+INDEX($AA$4:$AA$7,MATCH(INDOOR_3,$Z$4:$Z$7)))))
&gt;AT28,AT28,
(INDEX($AA$4:$AA$7,MATCH(INDOOR_3,$Z$4:$Z$7))*(INDEX($X$27:$X$46,MATCH($AD28,$W$27:$W$46,1))/(INDEX($AA$4:$AA$7,MATCH(INDOOR_1,$Z$4:$Z$7))+INDEX($AA$4:$AA$7,MATCH(INDOOR_2,$Z$4:$Z$7))+INDEX($AA$4:$AA$7,MATCH(INDOOR_3,$Z$4:$Z$7))))))</f>
        <v>10.463111111111111</v>
      </c>
      <c r="AO28" s="178"/>
      <c r="AP28" s="178"/>
      <c r="AQ28" s="169">
        <f t="shared" ca="1" si="23"/>
        <v>31.389333333333333</v>
      </c>
      <c r="AR28" s="170">
        <f ca="1">INDEX('Cap based on indoor unit SZ'!$J$6:$J$21,MATCH(AE28,'Cap based on indoor unit SZ'!$I$6:$I$21))</f>
        <v>10.463111111111111</v>
      </c>
      <c r="AS28" s="170">
        <f ca="1">INDEX('Cap based on indoor unit SZ'!$J$6:$J$21,MATCH(AF28,'Cap based on indoor unit SZ'!$I$6:$I$21))</f>
        <v>10.463111111111111</v>
      </c>
      <c r="AT28" s="170">
        <f ca="1">INDEX('Cap based on indoor unit SZ'!$J$6:$J$21,MATCH(AG28,'Cap based on indoor unit SZ'!$I$6:$I$21))</f>
        <v>10.463111111111111</v>
      </c>
      <c r="AU28" s="179"/>
      <c r="AV28" s="179"/>
      <c r="AW28" s="169">
        <f t="shared" si="24"/>
        <v>27.999000000000002</v>
      </c>
      <c r="AX28" s="170">
        <v>9.3330000000000002</v>
      </c>
      <c r="AY28" s="170">
        <v>9.3330000000000002</v>
      </c>
      <c r="AZ28" s="170">
        <v>9.3330000000000002</v>
      </c>
      <c r="BA28" s="179"/>
      <c r="BB28" s="179"/>
      <c r="BC28" s="172">
        <f t="shared" ca="1" si="25"/>
        <v>37.90944444444446</v>
      </c>
      <c r="BD28" s="173">
        <f t="shared" ref="BD28:BF39" ca="1" si="41">(INDEX($AA$4:$AA$7,MATCH(AE28,$Z$4:$Z$7))*(INDEX($X$27:$X$46,MATCH($AD28,$W$27:$W$46,1))/(INDEX($AA$4:$AA$7,MATCH($AE28,$Z$4:$Z$7))+INDEX($AA$4:$AA$7,MATCH($AF28,$Z$4:$Z$7))+INDEX($AA$4:$AA$7,MATCH($AG28,$Z$4:$Z$7)))))</f>
        <v>12.636481481481487</v>
      </c>
      <c r="BE28" s="173">
        <f t="shared" ca="1" si="41"/>
        <v>12.636481481481487</v>
      </c>
      <c r="BF28" s="173">
        <f t="shared" ca="1" si="41"/>
        <v>12.636481481481487</v>
      </c>
      <c r="BG28" s="180"/>
      <c r="BH28" s="180"/>
      <c r="BI28" s="166">
        <f t="shared" ca="1" si="28"/>
        <v>35.868061538461532</v>
      </c>
      <c r="BJ28" s="167">
        <f t="shared" ref="BJ28:BJ39" ca="1" si="42">IF((INDEX($AA$4:$AA$7,MATCH(INDOOR_1,$Z$4:$Z$7))*(INDEX($X$118:$X$137,MATCH($AD28,$W$118:$W$137,1))/(INDEX($AA$4:$AA$7,MATCH(INDOOR_1,$Z$4:$Z$7))+INDEX($AA$4:$AA$7,MATCH(INDOOR_2,$Z$4:$Z$7))+INDEX($AA$4:$AA$7,MATCH(INDOOR_3,$Z$4:$Z$7)))))
&gt;BP28,BP28,
(INDEX($AA$4:$AA$7,MATCH(INDOOR_1,$Z$4:$Z$7))*(INDEX($X$118:$X$137,MATCH($AD28,$W$118:$W$137,1))/(INDEX($AA$4:$AA$7,MATCH(INDOOR_1,$Z$4:$Z$7))+INDEX($AA$4:$AA$7,MATCH(INDOOR_2,$Z$4:$Z$7))+INDEX($AA$4:$AA$7,MATCH(INDOOR_3,$Z$4:$Z$7))))))</f>
        <v>11.956020512820512</v>
      </c>
      <c r="BK28" s="167">
        <f t="shared" ref="BK28:BK39" ca="1" si="43">IF((INDEX($AA$4:$AA$7,MATCH(INDOOR_2,$Z$4:$Z$7))*(INDEX($X$118:$X$137,MATCH($AD28,$W$118:$W$137,1))/(INDEX($AA$4:$AA$7,MATCH(INDOOR_1,$Z$4:$Z$7))+INDEX($AA$4:$AA$7,MATCH(INDOOR_2,$Z$4:$Z$7))+INDEX($AA$4:$AA$7,MATCH(INDOOR_3,$Z$4:$Z$7)))))
&gt;BQ28,BQ28,
(INDEX($AA$4:$AA$7,MATCH(INDOOR_2,$Z$4:$Z$7))*(INDEX($X$118:$X$137,MATCH($AD28,$W$118:$W$137,1))/(INDEX($AA$4:$AA$7,MATCH(INDOOR_1,$Z$4:$Z$7))+INDEX($AA$4:$AA$7,MATCH(INDOOR_2,$Z$4:$Z$7))+INDEX($AA$4:$AA$7,MATCH(INDOOR_3,$Z$4:$Z$7))))))</f>
        <v>11.956020512820512</v>
      </c>
      <c r="BL28" s="167">
        <f t="shared" ref="BL28:BL39" ca="1" si="44">IF((INDEX($AA$4:$AA$7,MATCH(INDOOR_3,$Z$4:$Z$7))*(INDEX($X$118:$X$137,MATCH($AD28,$W$118:$W$137,1))/(INDEX($AA$4:$AA$7,MATCH(INDOOR_1,$Z$4:$Z$7))+INDEX($AA$4:$AA$7,MATCH(INDOOR_2,$Z$4:$Z$7))+INDEX($AA$4:$AA$7,MATCH(INDOOR_3,$Z$4:$Z$7)))))
&gt;BR28,BR28,
(INDEX($AA$4:$AA$7,MATCH(INDOOR_3,$Z$4:$Z$7))*(INDEX($X$118:$X$137,MATCH($AD28,$W$118:$W$137,1))/(INDEX($AA$4:$AA$7,MATCH(INDOOR_1,$Z$4:$Z$7))+INDEX($AA$4:$AA$7,MATCH(INDOOR_2,$Z$4:$Z$7))+INDEX($AA$4:$AA$7,MATCH(INDOOR_3,$Z$4:$Z$7))))))</f>
        <v>11.956020512820512</v>
      </c>
      <c r="BM28" s="178"/>
      <c r="BN28" s="178"/>
      <c r="BO28" s="169">
        <f t="shared" ca="1" si="31"/>
        <v>35.868061538461532</v>
      </c>
      <c r="BP28" s="170">
        <f ca="1">INDEX('Cap based on indoor unit SZ'!$V$43:$V$58,MATCH(AE28,'Cap based on indoor unit SZ'!$U$43:$U$58))</f>
        <v>11.956020512820512</v>
      </c>
      <c r="BQ28" s="170">
        <f ca="1">INDEX('Cap based on indoor unit SZ'!$V$43:$V$58,MATCH(AF28,'Cap based on indoor unit SZ'!$U$43:$U$58))</f>
        <v>11.956020512820512</v>
      </c>
      <c r="BR28" s="170">
        <f ca="1">INDEX('Cap based on indoor unit SZ'!$V$43:$V$58,MATCH(AG28,'Cap based on indoor unit SZ'!$U$43:$U$58))</f>
        <v>11.956020512820512</v>
      </c>
      <c r="BS28" s="179"/>
      <c r="BT28" s="179"/>
      <c r="BU28" s="175">
        <v>9667</v>
      </c>
      <c r="BV28" s="175">
        <v>9667</v>
      </c>
      <c r="BW28" s="175">
        <v>9667</v>
      </c>
      <c r="BX28" s="179"/>
      <c r="BY28" s="179"/>
      <c r="BZ28" s="172">
        <f t="shared" ca="1" si="32"/>
        <v>36.900965811965811</v>
      </c>
      <c r="CA28" s="173">
        <f t="shared" ref="CA28:CA39" ca="1" si="45">(INDEX($AA$4:$AA$7,MATCH(INDOOR_1,$Z$4:$Z$7))*(INDEX($X$118:$X$137,MATCH($AD28,$W$118:$W$137,1))/(INDEX($AA$4:$AA$7,MATCH(INDOOR_1,$Z$4:$Z$7))+INDEX($AA$4:$AA$7,MATCH(INDOOR_2,$Z$4:$Z$7))+INDEX($AA$4:$AA$7,MATCH(INDOOR_3,$Z$4:$Z$7)))))</f>
        <v>12.300321937321938</v>
      </c>
      <c r="CB28" s="173">
        <f t="shared" ref="CB28:CB39" ca="1" si="46">(INDEX($AA$4:$AA$7,MATCH(INDOOR_2,$Z$4:$Z$7))*(INDEX($X$118:$X$137,MATCH($AD28,$W$118:$W$137,1))/(INDEX($AA$4:$AA$7,MATCH(INDOOR_1,$Z$4:$Z$7))+INDEX($AA$4:$AA$7,MATCH(INDOOR_2,$Z$4:$Z$7))+INDEX($AA$4:$AA$7,MATCH(INDOOR_3,$Z$4:$Z$7)))))</f>
        <v>12.300321937321938</v>
      </c>
      <c r="CC28" s="173">
        <f t="shared" ref="CC28:CC39" ca="1" si="47">(INDEX($AA$4:$AA$7,MATCH(INDOOR_3,$Z$4:$Z$7))*(INDEX($X$118:$X$137,MATCH($AD28,$W$118:$W$137,1))/(INDEX($AA$4:$AA$7,MATCH(INDOOR_1,$Z$4:$Z$7))+INDEX($AA$4:$AA$7,MATCH(INDOOR_2,$Z$4:$Z$7))+INDEX($AA$4:$AA$7,MATCH(INDOOR_3,$Z$4:$Z$7)))))</f>
        <v>12.300321937321938</v>
      </c>
      <c r="CD28" s="180"/>
      <c r="CE28" s="180"/>
      <c r="CF28" s="166">
        <f t="shared" ca="1" si="35"/>
        <v>24.327114120822252</v>
      </c>
      <c r="CG28" s="167">
        <f t="shared" ca="1" si="36"/>
        <v>8.1090380402740845</v>
      </c>
      <c r="CH28" s="167">
        <f t="shared" ca="1" si="36"/>
        <v>8.1090380402740845</v>
      </c>
      <c r="CI28" s="167">
        <f t="shared" ca="1" si="36"/>
        <v>8.1090380402740845</v>
      </c>
      <c r="CJ28" s="178"/>
      <c r="CK28" s="178"/>
    </row>
    <row r="29" spans="1:89">
      <c r="B29" s="196">
        <v>18</v>
      </c>
      <c r="C29" s="197">
        <v>80.599999999999994</v>
      </c>
      <c r="D29" s="197">
        <v>66.2</v>
      </c>
      <c r="E29" s="198" t="s">
        <v>15</v>
      </c>
      <c r="F29" s="199">
        <v>21.524999999999999</v>
      </c>
      <c r="G29" s="200">
        <v>22</v>
      </c>
      <c r="H29" s="200">
        <v>21.895</v>
      </c>
      <c r="I29" s="200">
        <v>22.11</v>
      </c>
      <c r="J29" s="200">
        <v>22.355</v>
      </c>
      <c r="K29" s="200">
        <v>23.104999999999997</v>
      </c>
      <c r="L29" s="201">
        <v>24.085000000000001</v>
      </c>
      <c r="M29" s="201">
        <v>22.85</v>
      </c>
      <c r="N29" s="201">
        <v>21.035</v>
      </c>
      <c r="O29" s="201">
        <v>14.27</v>
      </c>
      <c r="P29" s="201">
        <v>12.89</v>
      </c>
      <c r="Q29" s="202">
        <v>10.504999999999999</v>
      </c>
      <c r="R29" s="203">
        <f t="shared" ca="1" si="37"/>
        <v>21.035000000000011</v>
      </c>
      <c r="S29" s="145"/>
      <c r="T29" s="145"/>
      <c r="U29" s="146" t="s">
        <v>97</v>
      </c>
      <c r="V29" s="147">
        <f ca="1">TREND(R27:R30,C27:C30,INDOOR_DB)</f>
        <v>20.303964646464649</v>
      </c>
      <c r="W29" s="145"/>
      <c r="X29" s="152"/>
      <c r="AC29" s="164" t="s">
        <v>219</v>
      </c>
      <c r="AD29" s="164">
        <v>30</v>
      </c>
      <c r="AE29" s="165">
        <v>9</v>
      </c>
      <c r="AF29" s="165">
        <v>9</v>
      </c>
      <c r="AG29" s="165">
        <v>12</v>
      </c>
      <c r="AH29" s="164"/>
      <c r="AI29" s="164"/>
      <c r="AJ29" s="501"/>
      <c r="AK29" s="166">
        <f t="shared" ca="1" si="20"/>
        <v>34.005111111111113</v>
      </c>
      <c r="AL29" s="167">
        <f t="shared" ca="1" si="38"/>
        <v>10.463111111111111</v>
      </c>
      <c r="AM29" s="167">
        <f t="shared" ca="1" si="39"/>
        <v>10.463111111111111</v>
      </c>
      <c r="AN29" s="167">
        <f t="shared" ca="1" si="40"/>
        <v>13.078888888888891</v>
      </c>
      <c r="AO29" s="178"/>
      <c r="AP29" s="178"/>
      <c r="AQ29" s="169">
        <f t="shared" ca="1" si="23"/>
        <v>34.005111111111113</v>
      </c>
      <c r="AR29" s="170">
        <f ca="1">INDEX('Cap based on indoor unit SZ'!$J$6:$J$21,MATCH(AE29,'Cap based on indoor unit SZ'!$I$6:$I$21))</f>
        <v>10.463111111111111</v>
      </c>
      <c r="AS29" s="170">
        <f ca="1">INDEX('Cap based on indoor unit SZ'!$J$6:$J$21,MATCH(AF29,'Cap based on indoor unit SZ'!$I$6:$I$21))</f>
        <v>10.463111111111111</v>
      </c>
      <c r="AT29" s="170">
        <f ca="1">INDEX('Cap based on indoor unit SZ'!$J$6:$J$21,MATCH(AG29,'Cap based on indoor unit SZ'!$I$6:$I$21))</f>
        <v>13.078888888888891</v>
      </c>
      <c r="AU29" s="179"/>
      <c r="AV29" s="179"/>
      <c r="AW29" s="169">
        <f t="shared" si="24"/>
        <v>30</v>
      </c>
      <c r="AX29" s="170">
        <v>9</v>
      </c>
      <c r="AY29" s="170">
        <v>9</v>
      </c>
      <c r="AZ29" s="170">
        <v>12</v>
      </c>
      <c r="BA29" s="179"/>
      <c r="BB29" s="179"/>
      <c r="BC29" s="172">
        <f t="shared" ca="1" si="25"/>
        <v>37.90944444444446</v>
      </c>
      <c r="BD29" s="173">
        <f t="shared" ca="1" si="41"/>
        <v>11.37283333333334</v>
      </c>
      <c r="BE29" s="173">
        <f t="shared" ca="1" si="41"/>
        <v>11.37283333333334</v>
      </c>
      <c r="BF29" s="173">
        <f t="shared" ca="1" si="41"/>
        <v>15.163777777777785</v>
      </c>
      <c r="BG29" s="180"/>
      <c r="BH29" s="180"/>
      <c r="BI29" s="166">
        <f t="shared" ca="1" si="28"/>
        <v>36.900965811965818</v>
      </c>
      <c r="BJ29" s="167">
        <f t="shared" ca="1" si="42"/>
        <v>11.070289743589745</v>
      </c>
      <c r="BK29" s="167">
        <f t="shared" ca="1" si="43"/>
        <v>11.070289743589745</v>
      </c>
      <c r="BL29" s="167">
        <f t="shared" ca="1" si="44"/>
        <v>14.760386324786326</v>
      </c>
      <c r="BM29" s="178"/>
      <c r="BN29" s="178"/>
      <c r="BO29" s="169">
        <f t="shared" ca="1" si="31"/>
        <v>38.857066666666668</v>
      </c>
      <c r="BP29" s="170">
        <f ca="1">INDEX('Cap based on indoor unit SZ'!$V$43:$V$58,MATCH(AE29,'Cap based on indoor unit SZ'!$U$43:$U$58))</f>
        <v>11.956020512820512</v>
      </c>
      <c r="BQ29" s="170">
        <f ca="1">INDEX('Cap based on indoor unit SZ'!$V$43:$V$58,MATCH(AF29,'Cap based on indoor unit SZ'!$U$43:$U$58))</f>
        <v>11.956020512820512</v>
      </c>
      <c r="BR29" s="170">
        <f ca="1">INDEX('Cap based on indoor unit SZ'!$V$43:$V$58,MATCH(AG29,'Cap based on indoor unit SZ'!$U$43:$U$58))</f>
        <v>14.945025641025641</v>
      </c>
      <c r="BS29" s="179"/>
      <c r="BT29" s="179"/>
      <c r="BU29" s="175">
        <v>9500</v>
      </c>
      <c r="BV29" s="175">
        <v>9500</v>
      </c>
      <c r="BW29" s="175">
        <v>12500</v>
      </c>
      <c r="BX29" s="179"/>
      <c r="BY29" s="179"/>
      <c r="BZ29" s="172">
        <f t="shared" ca="1" si="32"/>
        <v>36.900965811965818</v>
      </c>
      <c r="CA29" s="173">
        <f t="shared" ca="1" si="45"/>
        <v>11.070289743589745</v>
      </c>
      <c r="CB29" s="173">
        <f t="shared" ca="1" si="46"/>
        <v>11.070289743589745</v>
      </c>
      <c r="CC29" s="173">
        <f t="shared" ca="1" si="47"/>
        <v>14.760386324786326</v>
      </c>
      <c r="CD29" s="180"/>
      <c r="CE29" s="180"/>
      <c r="CF29" s="166">
        <f t="shared" ca="1" si="35"/>
        <v>26.354373630890777</v>
      </c>
      <c r="CG29" s="167">
        <f t="shared" ca="1" si="36"/>
        <v>8.1090380402740845</v>
      </c>
      <c r="CH29" s="167">
        <f t="shared" ca="1" si="36"/>
        <v>8.1090380402740845</v>
      </c>
      <c r="CI29" s="167">
        <f t="shared" ca="1" si="36"/>
        <v>10.136297550342608</v>
      </c>
      <c r="CJ29" s="178"/>
      <c r="CK29" s="178"/>
    </row>
    <row r="30" spans="1:89" ht="14.4" thickBot="1">
      <c r="B30" s="204">
        <v>18</v>
      </c>
      <c r="C30" s="205">
        <v>89.6</v>
      </c>
      <c r="D30" s="205">
        <v>73.400000000000006</v>
      </c>
      <c r="E30" s="206" t="s">
        <v>15</v>
      </c>
      <c r="F30" s="207">
        <v>23.465</v>
      </c>
      <c r="G30" s="208">
        <v>23.98</v>
      </c>
      <c r="H30" s="208">
        <v>23.865000000000002</v>
      </c>
      <c r="I30" s="208">
        <v>24.1</v>
      </c>
      <c r="J30" s="208">
        <v>24.369999999999997</v>
      </c>
      <c r="K30" s="208">
        <v>25.185000000000002</v>
      </c>
      <c r="L30" s="209">
        <v>26.255000000000003</v>
      </c>
      <c r="M30" s="209">
        <v>24.91</v>
      </c>
      <c r="N30" s="209">
        <v>22.93</v>
      </c>
      <c r="O30" s="209">
        <v>15.549999999999999</v>
      </c>
      <c r="P30" s="209">
        <v>14.05</v>
      </c>
      <c r="Q30" s="210">
        <v>11.45</v>
      </c>
      <c r="R30" s="211">
        <f t="shared" ca="1" si="37"/>
        <v>22.929999999999993</v>
      </c>
      <c r="S30" s="145"/>
      <c r="T30" s="145"/>
      <c r="U30" s="146"/>
      <c r="V30" s="149"/>
      <c r="W30" s="145"/>
      <c r="X30" s="152"/>
      <c r="AC30" s="164" t="s">
        <v>178</v>
      </c>
      <c r="AD30" s="164">
        <v>30</v>
      </c>
      <c r="AE30" s="165">
        <v>9</v>
      </c>
      <c r="AF30" s="165">
        <v>9</v>
      </c>
      <c r="AG30" s="165">
        <v>18</v>
      </c>
      <c r="AH30" s="164"/>
      <c r="AI30" s="164"/>
      <c r="AJ30" s="501"/>
      <c r="AK30" s="166">
        <f t="shared" ca="1" si="20"/>
        <v>37.90944444444446</v>
      </c>
      <c r="AL30" s="167">
        <f t="shared" ca="1" si="38"/>
        <v>9.4773611111111151</v>
      </c>
      <c r="AM30" s="167">
        <f t="shared" ca="1" si="39"/>
        <v>9.4773611111111151</v>
      </c>
      <c r="AN30" s="167">
        <f t="shared" ca="1" si="40"/>
        <v>18.95472222222223</v>
      </c>
      <c r="AO30" s="178"/>
      <c r="AP30" s="178"/>
      <c r="AQ30" s="169">
        <f t="shared" ca="1" si="23"/>
        <v>40.74733333333333</v>
      </c>
      <c r="AR30" s="170">
        <f ca="1">INDEX('Cap based on indoor unit SZ'!$J$6:$J$21,MATCH(AE30,'Cap based on indoor unit SZ'!$I$6:$I$21))</f>
        <v>10.463111111111111</v>
      </c>
      <c r="AS30" s="170">
        <f ca="1">INDEX('Cap based on indoor unit SZ'!$J$6:$J$21,MATCH(AF30,'Cap based on indoor unit SZ'!$I$6:$I$21))</f>
        <v>10.463111111111111</v>
      </c>
      <c r="AT30" s="170">
        <f ca="1">INDEX('Cap based on indoor unit SZ'!$J$6:$J$21,MATCH(AG30,'Cap based on indoor unit SZ'!$I$6:$I$21))</f>
        <v>19.821111111111112</v>
      </c>
      <c r="AU30" s="179"/>
      <c r="AV30" s="179"/>
      <c r="AW30" s="169">
        <f t="shared" si="24"/>
        <v>33</v>
      </c>
      <c r="AX30" s="170">
        <v>8.5</v>
      </c>
      <c r="AY30" s="170">
        <v>8.5</v>
      </c>
      <c r="AZ30" s="170">
        <v>16</v>
      </c>
      <c r="BA30" s="179"/>
      <c r="BB30" s="179"/>
      <c r="BC30" s="172">
        <f t="shared" ca="1" si="25"/>
        <v>37.90944444444446</v>
      </c>
      <c r="BD30" s="173">
        <f t="shared" ca="1" si="41"/>
        <v>9.4773611111111151</v>
      </c>
      <c r="BE30" s="173">
        <f t="shared" ca="1" si="41"/>
        <v>9.4773611111111151</v>
      </c>
      <c r="BF30" s="173">
        <f t="shared" ca="1" si="41"/>
        <v>18.95472222222223</v>
      </c>
      <c r="BG30" s="180"/>
      <c r="BH30" s="180"/>
      <c r="BI30" s="166">
        <f t="shared" ca="1" si="28"/>
        <v>36.900965811965811</v>
      </c>
      <c r="BJ30" s="167">
        <f t="shared" ca="1" si="42"/>
        <v>9.2252414529914528</v>
      </c>
      <c r="BK30" s="167">
        <f t="shared" ca="1" si="43"/>
        <v>9.2252414529914528</v>
      </c>
      <c r="BL30" s="167">
        <f t="shared" ca="1" si="44"/>
        <v>18.450482905982906</v>
      </c>
      <c r="BM30" s="178"/>
      <c r="BN30" s="178"/>
      <c r="BO30" s="169">
        <f t="shared" ca="1" si="31"/>
        <v>48.51086153846154</v>
      </c>
      <c r="BP30" s="170">
        <f ca="1">INDEX('Cap based on indoor unit SZ'!$V$43:$V$58,MATCH(AE30,'Cap based on indoor unit SZ'!$U$43:$U$58))</f>
        <v>11.956020512820512</v>
      </c>
      <c r="BQ30" s="170">
        <f ca="1">INDEX('Cap based on indoor unit SZ'!$V$43:$V$58,MATCH(AF30,'Cap based on indoor unit SZ'!$U$43:$U$58))</f>
        <v>11.956020512820512</v>
      </c>
      <c r="BR30" s="170">
        <f ca="1">INDEX('Cap based on indoor unit SZ'!$V$43:$V$58,MATCH(AG30,'Cap based on indoor unit SZ'!$U$43:$U$58))</f>
        <v>24.598820512820513</v>
      </c>
      <c r="BS30" s="179"/>
      <c r="BT30" s="179"/>
      <c r="BU30" s="175">
        <v>8500</v>
      </c>
      <c r="BV30" s="175">
        <v>8500</v>
      </c>
      <c r="BW30" s="175">
        <v>17000</v>
      </c>
      <c r="BX30" s="179"/>
      <c r="BY30" s="179"/>
      <c r="BZ30" s="172">
        <f t="shared" ca="1" si="32"/>
        <v>36.900965811965811</v>
      </c>
      <c r="CA30" s="173">
        <f t="shared" ca="1" si="45"/>
        <v>9.2252414529914528</v>
      </c>
      <c r="CB30" s="173">
        <f t="shared" ca="1" si="46"/>
        <v>9.2252414529914528</v>
      </c>
      <c r="CC30" s="173">
        <f t="shared" ca="1" si="47"/>
        <v>18.450482905982906</v>
      </c>
      <c r="CD30" s="180"/>
      <c r="CE30" s="180"/>
      <c r="CF30" s="166">
        <f t="shared" ca="1" si="35"/>
        <v>29.380279328125422</v>
      </c>
      <c r="CG30" s="167">
        <f t="shared" ca="1" si="36"/>
        <v>7.3450698320313554</v>
      </c>
      <c r="CH30" s="167">
        <f t="shared" ca="1" si="36"/>
        <v>7.3450698320313554</v>
      </c>
      <c r="CI30" s="167">
        <f t="shared" ca="1" si="36"/>
        <v>14.690139664062711</v>
      </c>
      <c r="CJ30" s="178"/>
      <c r="CK30" s="178"/>
    </row>
    <row r="31" spans="1:89">
      <c r="B31" s="188">
        <v>24</v>
      </c>
      <c r="C31" s="189">
        <v>69.8</v>
      </c>
      <c r="D31" s="189">
        <v>59</v>
      </c>
      <c r="E31" s="190" t="s">
        <v>15</v>
      </c>
      <c r="F31" s="191">
        <v>29.484999999999999</v>
      </c>
      <c r="G31" s="192">
        <v>30.145</v>
      </c>
      <c r="H31" s="192">
        <v>30</v>
      </c>
      <c r="I31" s="192">
        <v>30.03</v>
      </c>
      <c r="J31" s="192">
        <v>29.689999999999998</v>
      </c>
      <c r="K31" s="192">
        <v>30.155000000000001</v>
      </c>
      <c r="L31" s="193">
        <v>29.744999999999997</v>
      </c>
      <c r="M31" s="193">
        <v>26.08</v>
      </c>
      <c r="N31" s="193">
        <v>23.625</v>
      </c>
      <c r="O31" s="193">
        <v>19.23</v>
      </c>
      <c r="P31" s="193">
        <v>16.869999999999997</v>
      </c>
      <c r="Q31" s="194">
        <v>14.855</v>
      </c>
      <c r="R31" s="195">
        <f t="shared" ca="1" si="37"/>
        <v>23.624999999999993</v>
      </c>
      <c r="S31" s="145"/>
      <c r="T31" s="145"/>
      <c r="U31" s="146" t="s">
        <v>96</v>
      </c>
      <c r="V31" s="147">
        <f ca="1">FORECAST(INDOOR_DB,OFFSET(R31:R34,MATCH(INDOOR_DB,C31:C34,1)-1,0,2),OFFSET(C31:C34,MATCH(INDOOR_DB,C31:C34,1)-1,0,2))</f>
        <v>30.479444444444454</v>
      </c>
      <c r="W31" s="145">
        <f>B31</f>
        <v>24</v>
      </c>
      <c r="X31" s="147">
        <f ca="1">IF(OR(INDOOR_DB&lt;C31,INDOOR_DB&gt;C34),V33,V31)</f>
        <v>30.479444444444454</v>
      </c>
      <c r="AC31" s="164" t="s">
        <v>218</v>
      </c>
      <c r="AD31" s="164">
        <v>30</v>
      </c>
      <c r="AE31" s="165">
        <v>9</v>
      </c>
      <c r="AF31" s="165">
        <v>9</v>
      </c>
      <c r="AG31" s="165">
        <v>24</v>
      </c>
      <c r="AH31" s="212"/>
      <c r="AI31" s="212"/>
      <c r="AJ31" s="501"/>
      <c r="AK31" s="166">
        <f t="shared" ca="1" si="20"/>
        <v>37.90944444444446</v>
      </c>
      <c r="AL31" s="167">
        <f t="shared" ca="1" si="38"/>
        <v>8.1234523809523846</v>
      </c>
      <c r="AM31" s="167">
        <f t="shared" ca="1" si="39"/>
        <v>8.1234523809523846</v>
      </c>
      <c r="AN31" s="167">
        <f t="shared" ca="1" si="40"/>
        <v>21.662539682539691</v>
      </c>
      <c r="AO31" s="178"/>
      <c r="AP31" s="178"/>
      <c r="AQ31" s="169">
        <f t="shared" ca="1" si="23"/>
        <v>45.37844444444444</v>
      </c>
      <c r="AR31" s="170">
        <f ca="1">INDEX('Cap based on indoor unit SZ'!$J$6:$J$21,MATCH(AE31,'Cap based on indoor unit SZ'!$I$6:$I$21))</f>
        <v>10.463111111111111</v>
      </c>
      <c r="AS31" s="170">
        <f ca="1">INDEX('Cap based on indoor unit SZ'!$J$6:$J$21,MATCH(AF31,'Cap based on indoor unit SZ'!$I$6:$I$21))</f>
        <v>10.463111111111111</v>
      </c>
      <c r="AT31" s="170">
        <f ca="1">INDEX('Cap based on indoor unit SZ'!$J$6:$J$21,MATCH(AG31,'Cap based on indoor unit SZ'!$I$6:$I$21))</f>
        <v>24.452222222222218</v>
      </c>
      <c r="AU31" s="179"/>
      <c r="AV31" s="179"/>
      <c r="AW31" s="169">
        <f t="shared" si="24"/>
        <v>35</v>
      </c>
      <c r="AX31" s="170">
        <v>7.5</v>
      </c>
      <c r="AY31" s="170">
        <v>7.5</v>
      </c>
      <c r="AZ31" s="170">
        <v>20</v>
      </c>
      <c r="BA31" s="179"/>
      <c r="BB31" s="179"/>
      <c r="BC31" s="172">
        <f t="shared" ca="1" si="25"/>
        <v>37.90944444444446</v>
      </c>
      <c r="BD31" s="173">
        <f t="shared" ca="1" si="41"/>
        <v>8.1234523809523846</v>
      </c>
      <c r="BE31" s="173">
        <f t="shared" ca="1" si="41"/>
        <v>8.1234523809523846</v>
      </c>
      <c r="BF31" s="173">
        <f t="shared" ca="1" si="41"/>
        <v>21.662539682539691</v>
      </c>
      <c r="BG31" s="180"/>
      <c r="BH31" s="180"/>
      <c r="BI31" s="166">
        <f t="shared" ca="1" si="28"/>
        <v>36.900965811965818</v>
      </c>
      <c r="BJ31" s="167">
        <f t="shared" ca="1" si="42"/>
        <v>7.907349816849818</v>
      </c>
      <c r="BK31" s="167">
        <f t="shared" ca="1" si="43"/>
        <v>7.907349816849818</v>
      </c>
      <c r="BL31" s="167">
        <f t="shared" ca="1" si="44"/>
        <v>21.086266178266179</v>
      </c>
      <c r="BM31" s="178"/>
      <c r="BN31" s="178"/>
      <c r="BO31" s="169">
        <f t="shared" ca="1" si="31"/>
        <v>54.202041025641023</v>
      </c>
      <c r="BP31" s="170">
        <f ca="1">INDEX('Cap based on indoor unit SZ'!$V$43:$V$58,MATCH(AE31,'Cap based on indoor unit SZ'!$U$43:$U$58))</f>
        <v>11.956020512820512</v>
      </c>
      <c r="BQ31" s="170">
        <f ca="1">INDEX('Cap based on indoor unit SZ'!$V$43:$V$58,MATCH(AF31,'Cap based on indoor unit SZ'!$U$43:$U$58))</f>
        <v>11.956020512820512</v>
      </c>
      <c r="BR31" s="170">
        <f ca="1">INDEX('Cap based on indoor unit SZ'!$V$43:$V$58,MATCH(AG31,'Cap based on indoor unit SZ'!$U$43:$U$58))</f>
        <v>30.290000000000003</v>
      </c>
      <c r="BS31" s="179"/>
      <c r="BT31" s="179"/>
      <c r="BU31" s="175">
        <v>8500</v>
      </c>
      <c r="BV31" s="175">
        <v>8500</v>
      </c>
      <c r="BW31" s="175">
        <v>21000</v>
      </c>
      <c r="BX31" s="179"/>
      <c r="BY31" s="179"/>
      <c r="BZ31" s="172">
        <f t="shared" ca="1" si="32"/>
        <v>36.900965811965818</v>
      </c>
      <c r="CA31" s="173">
        <f t="shared" ca="1" si="45"/>
        <v>7.907349816849818</v>
      </c>
      <c r="CB31" s="173">
        <f t="shared" ca="1" si="46"/>
        <v>7.907349816849818</v>
      </c>
      <c r="CC31" s="173">
        <f t="shared" ca="1" si="47"/>
        <v>21.086266178266179</v>
      </c>
      <c r="CD31" s="180"/>
      <c r="CE31" s="180"/>
      <c r="CF31" s="166">
        <f t="shared" ca="1" si="35"/>
        <v>29.380279328125418</v>
      </c>
      <c r="CG31" s="167">
        <f t="shared" ca="1" si="36"/>
        <v>6.2957741417411617</v>
      </c>
      <c r="CH31" s="167">
        <f t="shared" ca="1" si="36"/>
        <v>6.2957741417411617</v>
      </c>
      <c r="CI31" s="167">
        <f t="shared" ca="1" si="36"/>
        <v>16.788731044643097</v>
      </c>
      <c r="CJ31" s="178"/>
      <c r="CK31" s="178"/>
    </row>
    <row r="32" spans="1:89">
      <c r="B32" s="196">
        <v>24</v>
      </c>
      <c r="C32" s="197">
        <v>75.2</v>
      </c>
      <c r="D32" s="197">
        <v>62.6</v>
      </c>
      <c r="E32" s="198" t="s">
        <v>15</v>
      </c>
      <c r="F32" s="199">
        <v>31.85</v>
      </c>
      <c r="G32" s="200">
        <v>32.56</v>
      </c>
      <c r="H32" s="200">
        <v>32.4</v>
      </c>
      <c r="I32" s="200">
        <v>32.435000000000002</v>
      </c>
      <c r="J32" s="200">
        <v>32.064999999999998</v>
      </c>
      <c r="K32" s="200">
        <v>32.564999999999998</v>
      </c>
      <c r="L32" s="201">
        <v>32.125</v>
      </c>
      <c r="M32" s="201">
        <v>28.17</v>
      </c>
      <c r="N32" s="201">
        <v>25.515000000000001</v>
      </c>
      <c r="O32" s="201">
        <v>20.77</v>
      </c>
      <c r="P32" s="201">
        <v>18.215</v>
      </c>
      <c r="Q32" s="202">
        <v>16.045000000000002</v>
      </c>
      <c r="R32" s="203">
        <f t="shared" ca="1" si="37"/>
        <v>25.515000000000001</v>
      </c>
      <c r="S32" s="145"/>
      <c r="T32" s="145"/>
      <c r="U32" s="146"/>
      <c r="V32" s="148"/>
      <c r="W32" s="145"/>
      <c r="X32" s="152"/>
      <c r="AC32" s="164" t="s">
        <v>176</v>
      </c>
      <c r="AD32" s="164">
        <v>30</v>
      </c>
      <c r="AE32" s="165">
        <v>9</v>
      </c>
      <c r="AF32" s="165">
        <v>12</v>
      </c>
      <c r="AG32" s="165">
        <v>12</v>
      </c>
      <c r="AH32" s="164"/>
      <c r="AI32" s="164"/>
      <c r="AJ32" s="501"/>
      <c r="AK32" s="166">
        <f t="shared" ca="1" si="20"/>
        <v>36.496717171717179</v>
      </c>
      <c r="AL32" s="167">
        <f t="shared" ca="1" si="38"/>
        <v>10.3389393939394</v>
      </c>
      <c r="AM32" s="167">
        <f t="shared" ca="1" si="39"/>
        <v>13.078888888888891</v>
      </c>
      <c r="AN32" s="167">
        <f t="shared" ca="1" si="40"/>
        <v>13.078888888888891</v>
      </c>
      <c r="AO32" s="178"/>
      <c r="AP32" s="178"/>
      <c r="AQ32" s="169">
        <f t="shared" ca="1" si="23"/>
        <v>36.620888888888892</v>
      </c>
      <c r="AR32" s="170">
        <f ca="1">INDEX('Cap based on indoor unit SZ'!$J$6:$J$21,MATCH(AE32,'Cap based on indoor unit SZ'!$I$6:$I$21))</f>
        <v>10.463111111111111</v>
      </c>
      <c r="AS32" s="170">
        <f ca="1">INDEX('Cap based on indoor unit SZ'!$J$6:$J$21,MATCH(AF32,'Cap based on indoor unit SZ'!$I$6:$I$21))</f>
        <v>13.078888888888891</v>
      </c>
      <c r="AT32" s="170">
        <f ca="1">INDEX('Cap based on indoor unit SZ'!$J$6:$J$21,MATCH(AG32,'Cap based on indoor unit SZ'!$I$6:$I$21))</f>
        <v>13.078888888888891</v>
      </c>
      <c r="AU32" s="179"/>
      <c r="AV32" s="179"/>
      <c r="AW32" s="169">
        <f t="shared" si="24"/>
        <v>31.5</v>
      </c>
      <c r="AX32" s="170">
        <v>8.5</v>
      </c>
      <c r="AY32" s="170">
        <v>11.5</v>
      </c>
      <c r="AZ32" s="170">
        <v>11.5</v>
      </c>
      <c r="BA32" s="179"/>
      <c r="BB32" s="179"/>
      <c r="BC32" s="172">
        <f t="shared" ca="1" si="25"/>
        <v>37.909444444444468</v>
      </c>
      <c r="BD32" s="173">
        <f t="shared" ca="1" si="41"/>
        <v>10.3389393939394</v>
      </c>
      <c r="BE32" s="173">
        <f t="shared" ca="1" si="41"/>
        <v>13.785252525252533</v>
      </c>
      <c r="BF32" s="173">
        <f t="shared" ca="1" si="41"/>
        <v>13.785252525252533</v>
      </c>
      <c r="BG32" s="180"/>
      <c r="BH32" s="180"/>
      <c r="BI32" s="166">
        <f t="shared" ca="1" si="28"/>
        <v>36.900965811965818</v>
      </c>
      <c r="BJ32" s="167">
        <f t="shared" ca="1" si="42"/>
        <v>10.063899766899768</v>
      </c>
      <c r="BK32" s="167">
        <f t="shared" ca="1" si="43"/>
        <v>13.418533022533023</v>
      </c>
      <c r="BL32" s="167">
        <f t="shared" ca="1" si="44"/>
        <v>13.418533022533023</v>
      </c>
      <c r="BM32" s="178"/>
      <c r="BN32" s="178"/>
      <c r="BO32" s="169">
        <f t="shared" ca="1" si="31"/>
        <v>41.84607179487179</v>
      </c>
      <c r="BP32" s="170">
        <f ca="1">INDEX('Cap based on indoor unit SZ'!$V$43:$V$58,MATCH(AE32,'Cap based on indoor unit SZ'!$U$43:$U$58))</f>
        <v>11.956020512820512</v>
      </c>
      <c r="BQ32" s="170">
        <f ca="1">INDEX('Cap based on indoor unit SZ'!$V$43:$V$58,MATCH(AF32,'Cap based on indoor unit SZ'!$U$43:$U$58))</f>
        <v>14.945025641025641</v>
      </c>
      <c r="BR32" s="170">
        <f ca="1">INDEX('Cap based on indoor unit SZ'!$V$43:$V$58,MATCH(AG32,'Cap based on indoor unit SZ'!$U$43:$U$58))</f>
        <v>14.945025641025641</v>
      </c>
      <c r="BS32" s="179"/>
      <c r="BT32" s="179"/>
      <c r="BU32" s="175">
        <v>9000</v>
      </c>
      <c r="BV32" s="175">
        <v>12000</v>
      </c>
      <c r="BW32" s="175">
        <v>12000</v>
      </c>
      <c r="BX32" s="179"/>
      <c r="BY32" s="179"/>
      <c r="BZ32" s="172">
        <f t="shared" ca="1" si="32"/>
        <v>36.900965811965818</v>
      </c>
      <c r="CA32" s="173">
        <f t="shared" ca="1" si="45"/>
        <v>10.063899766899768</v>
      </c>
      <c r="CB32" s="173">
        <f t="shared" ca="1" si="46"/>
        <v>13.418533022533023</v>
      </c>
      <c r="CC32" s="173">
        <f t="shared" ca="1" si="47"/>
        <v>13.418533022533023</v>
      </c>
      <c r="CD32" s="180"/>
      <c r="CE32" s="180"/>
      <c r="CF32" s="166">
        <f t="shared" ca="1" si="35"/>
        <v>28.285398553810332</v>
      </c>
      <c r="CG32" s="167">
        <f t="shared" ca="1" si="36"/>
        <v>8.012803453125116</v>
      </c>
      <c r="CH32" s="167">
        <f t="shared" ca="1" si="36"/>
        <v>10.136297550342608</v>
      </c>
      <c r="CI32" s="167">
        <f t="shared" ca="1" si="36"/>
        <v>10.136297550342608</v>
      </c>
      <c r="CJ32" s="178"/>
      <c r="CK32" s="178"/>
    </row>
    <row r="33" spans="2:89">
      <c r="B33" s="196">
        <v>24</v>
      </c>
      <c r="C33" s="197">
        <v>80.599999999999994</v>
      </c>
      <c r="D33" s="197">
        <v>66.2</v>
      </c>
      <c r="E33" s="198" t="s">
        <v>15</v>
      </c>
      <c r="F33" s="199">
        <v>34.575000000000003</v>
      </c>
      <c r="G33" s="200">
        <v>35.340000000000003</v>
      </c>
      <c r="H33" s="200">
        <v>35.335000000000001</v>
      </c>
      <c r="I33" s="200">
        <v>35.15</v>
      </c>
      <c r="J33" s="200">
        <v>35.344999999999999</v>
      </c>
      <c r="K33" s="200">
        <v>35.549999999999997</v>
      </c>
      <c r="L33" s="201">
        <v>35.465000000000003</v>
      </c>
      <c r="M33" s="201">
        <v>33.515000000000001</v>
      </c>
      <c r="N33" s="201">
        <v>31.1</v>
      </c>
      <c r="O33" s="201">
        <v>23.66</v>
      </c>
      <c r="P33" s="201">
        <v>22.259999999999998</v>
      </c>
      <c r="Q33" s="202">
        <v>19.309999999999999</v>
      </c>
      <c r="R33" s="203">
        <f t="shared" ca="1" si="37"/>
        <v>31.100000000000009</v>
      </c>
      <c r="S33" s="145"/>
      <c r="T33" s="145"/>
      <c r="U33" s="146" t="s">
        <v>97</v>
      </c>
      <c r="V33" s="147">
        <f ca="1">TREND(R31:R34,C31:C34,INDOOR_DB)</f>
        <v>29.000921717171721</v>
      </c>
      <c r="W33" s="145"/>
      <c r="X33" s="152"/>
      <c r="AC33" s="164" t="s">
        <v>175</v>
      </c>
      <c r="AD33" s="164">
        <v>30</v>
      </c>
      <c r="AE33" s="165">
        <v>9</v>
      </c>
      <c r="AF33" s="165">
        <v>12</v>
      </c>
      <c r="AG33" s="165">
        <v>18</v>
      </c>
      <c r="AH33" s="164"/>
      <c r="AI33" s="164"/>
      <c r="AJ33" s="501"/>
      <c r="AK33" s="166">
        <f t="shared" ca="1" si="20"/>
        <v>37.909444444444468</v>
      </c>
      <c r="AL33" s="167">
        <f t="shared" ca="1" si="38"/>
        <v>8.7483333333333384</v>
      </c>
      <c r="AM33" s="167">
        <f t="shared" ca="1" si="39"/>
        <v>11.664444444444451</v>
      </c>
      <c r="AN33" s="167">
        <f t="shared" ca="1" si="40"/>
        <v>17.496666666666677</v>
      </c>
      <c r="AO33" s="178"/>
      <c r="AP33" s="178"/>
      <c r="AQ33" s="169">
        <f t="shared" ca="1" si="23"/>
        <v>43.36311111111111</v>
      </c>
      <c r="AR33" s="170">
        <f ca="1">INDEX('Cap based on indoor unit SZ'!$J$6:$J$21,MATCH(AE33,'Cap based on indoor unit SZ'!$I$6:$I$21))</f>
        <v>10.463111111111111</v>
      </c>
      <c r="AS33" s="170">
        <f ca="1">INDEX('Cap based on indoor unit SZ'!$J$6:$J$21,MATCH(AF33,'Cap based on indoor unit SZ'!$I$6:$I$21))</f>
        <v>13.078888888888891</v>
      </c>
      <c r="AT33" s="170">
        <f ca="1">INDEX('Cap based on indoor unit SZ'!$J$6:$J$21,MATCH(AG33,'Cap based on indoor unit SZ'!$I$6:$I$21))</f>
        <v>19.821111111111112</v>
      </c>
      <c r="AU33" s="179"/>
      <c r="AV33" s="179"/>
      <c r="AW33" s="169">
        <f t="shared" si="24"/>
        <v>34</v>
      </c>
      <c r="AX33" s="170">
        <v>8</v>
      </c>
      <c r="AY33" s="170">
        <v>11</v>
      </c>
      <c r="AZ33" s="170">
        <v>15</v>
      </c>
      <c r="BA33" s="179"/>
      <c r="BB33" s="179"/>
      <c r="BC33" s="172">
        <f t="shared" ca="1" si="25"/>
        <v>37.909444444444468</v>
      </c>
      <c r="BD33" s="173">
        <f t="shared" ca="1" si="41"/>
        <v>8.7483333333333384</v>
      </c>
      <c r="BE33" s="173">
        <f t="shared" ca="1" si="41"/>
        <v>11.664444444444451</v>
      </c>
      <c r="BF33" s="173">
        <f t="shared" ca="1" si="41"/>
        <v>17.496666666666677</v>
      </c>
      <c r="BG33" s="180"/>
      <c r="BH33" s="180"/>
      <c r="BI33" s="166">
        <f t="shared" ca="1" si="28"/>
        <v>36.900965811965811</v>
      </c>
      <c r="BJ33" s="167">
        <f t="shared" ca="1" si="42"/>
        <v>8.5156074950690339</v>
      </c>
      <c r="BK33" s="167">
        <f t="shared" ca="1" si="43"/>
        <v>11.354143326758711</v>
      </c>
      <c r="BL33" s="167">
        <f t="shared" ca="1" si="44"/>
        <v>17.031214990138068</v>
      </c>
      <c r="BM33" s="178"/>
      <c r="BN33" s="178"/>
      <c r="BO33" s="169">
        <f t="shared" ca="1" si="31"/>
        <v>51.499866666666662</v>
      </c>
      <c r="BP33" s="170">
        <f ca="1">INDEX('Cap based on indoor unit SZ'!$V$43:$V$58,MATCH(AE33,'Cap based on indoor unit SZ'!$U$43:$U$58))</f>
        <v>11.956020512820512</v>
      </c>
      <c r="BQ33" s="170">
        <f ca="1">INDEX('Cap based on indoor unit SZ'!$V$43:$V$58,MATCH(AF33,'Cap based on indoor unit SZ'!$U$43:$U$58))</f>
        <v>14.945025641025641</v>
      </c>
      <c r="BR33" s="170">
        <f ca="1">INDEX('Cap based on indoor unit SZ'!$V$43:$V$58,MATCH(AG33,'Cap based on indoor unit SZ'!$U$43:$U$58))</f>
        <v>24.598820512820513</v>
      </c>
      <c r="BS33" s="179"/>
      <c r="BT33" s="179"/>
      <c r="BU33" s="175">
        <v>8500</v>
      </c>
      <c r="BV33" s="175">
        <v>11500</v>
      </c>
      <c r="BW33" s="175">
        <v>16000</v>
      </c>
      <c r="BX33" s="179"/>
      <c r="BY33" s="179"/>
      <c r="BZ33" s="172">
        <f t="shared" ca="1" si="32"/>
        <v>36.900965811965811</v>
      </c>
      <c r="CA33" s="173">
        <f t="shared" ca="1" si="45"/>
        <v>8.5156074950690339</v>
      </c>
      <c r="CB33" s="173">
        <f t="shared" ca="1" si="46"/>
        <v>11.354143326758711</v>
      </c>
      <c r="CC33" s="173">
        <f t="shared" ca="1" si="47"/>
        <v>17.031214990138068</v>
      </c>
      <c r="CD33" s="180"/>
      <c r="CE33" s="180"/>
      <c r="CF33" s="166">
        <f t="shared" ca="1" si="35"/>
        <v>29.380279328125425</v>
      </c>
      <c r="CG33" s="167">
        <f t="shared" ca="1" si="36"/>
        <v>6.7800644603366367</v>
      </c>
      <c r="CH33" s="167">
        <f t="shared" ca="1" si="36"/>
        <v>9.0400859471155162</v>
      </c>
      <c r="CI33" s="167">
        <f t="shared" ca="1" si="36"/>
        <v>13.560128920673273</v>
      </c>
      <c r="CJ33" s="178"/>
      <c r="CK33" s="178"/>
    </row>
    <row r="34" spans="2:89" ht="14.4" thickBot="1">
      <c r="B34" s="204">
        <v>24</v>
      </c>
      <c r="C34" s="205">
        <v>89.6</v>
      </c>
      <c r="D34" s="205">
        <v>73.400000000000006</v>
      </c>
      <c r="E34" s="206" t="s">
        <v>15</v>
      </c>
      <c r="F34" s="207">
        <v>36.995000000000005</v>
      </c>
      <c r="G34" s="208">
        <v>37.814999999999998</v>
      </c>
      <c r="H34" s="208">
        <v>37.81</v>
      </c>
      <c r="I34" s="208">
        <v>37.614999999999995</v>
      </c>
      <c r="J34" s="208">
        <v>37.82</v>
      </c>
      <c r="K34" s="208">
        <v>38.04</v>
      </c>
      <c r="L34" s="209">
        <v>37.950000000000003</v>
      </c>
      <c r="M34" s="209">
        <v>35.86</v>
      </c>
      <c r="N34" s="209">
        <v>33.274999999999999</v>
      </c>
      <c r="O34" s="209">
        <v>25.315000000000001</v>
      </c>
      <c r="P34" s="209">
        <v>23.82</v>
      </c>
      <c r="Q34" s="210">
        <v>20.66</v>
      </c>
      <c r="R34" s="211">
        <f t="shared" ca="1" si="37"/>
        <v>33.275000000000006</v>
      </c>
      <c r="S34" s="145"/>
      <c r="T34" s="145"/>
      <c r="U34" s="146"/>
      <c r="V34" s="149"/>
      <c r="W34" s="145"/>
      <c r="X34" s="152"/>
      <c r="AC34" s="164" t="s">
        <v>262</v>
      </c>
      <c r="AD34" s="164">
        <v>30</v>
      </c>
      <c r="AE34" s="165">
        <v>9</v>
      </c>
      <c r="AF34" s="165">
        <v>12</v>
      </c>
      <c r="AG34" s="165">
        <v>24</v>
      </c>
      <c r="AH34" s="164"/>
      <c r="AI34" s="164"/>
      <c r="AJ34" s="501"/>
      <c r="AK34" s="166">
        <f t="shared" ca="1" si="20"/>
        <v>37.90944444444446</v>
      </c>
      <c r="AL34" s="167">
        <f t="shared" ca="1" si="38"/>
        <v>7.5818888888888925</v>
      </c>
      <c r="AM34" s="167">
        <f t="shared" ca="1" si="39"/>
        <v>10.10918518518519</v>
      </c>
      <c r="AN34" s="167">
        <f t="shared" ca="1" si="40"/>
        <v>20.21837037037038</v>
      </c>
      <c r="AO34" s="178"/>
      <c r="AP34" s="178"/>
      <c r="AQ34" s="169">
        <f t="shared" ca="1" si="23"/>
        <v>47.99422222222222</v>
      </c>
      <c r="AR34" s="170">
        <f ca="1">INDEX('Cap based on indoor unit SZ'!$J$6:$J$21,MATCH(AE34,'Cap based on indoor unit SZ'!$I$6:$I$21))</f>
        <v>10.463111111111111</v>
      </c>
      <c r="AS34" s="170">
        <f ca="1">INDEX('Cap based on indoor unit SZ'!$J$6:$J$21,MATCH(AF34,'Cap based on indoor unit SZ'!$I$6:$I$21))</f>
        <v>13.078888888888891</v>
      </c>
      <c r="AT34" s="170">
        <f ca="1">INDEX('Cap based on indoor unit SZ'!$J$6:$J$21,MATCH(AG34,'Cap based on indoor unit SZ'!$I$6:$I$21))</f>
        <v>24.452222222222218</v>
      </c>
      <c r="AU34" s="179"/>
      <c r="AV34" s="179"/>
      <c r="AW34" s="169">
        <f t="shared" si="24"/>
        <v>36</v>
      </c>
      <c r="AX34" s="170">
        <v>7</v>
      </c>
      <c r="AY34" s="170">
        <v>9</v>
      </c>
      <c r="AZ34" s="170">
        <v>20</v>
      </c>
      <c r="BA34" s="179"/>
      <c r="BB34" s="179"/>
      <c r="BC34" s="172">
        <f t="shared" ca="1" si="25"/>
        <v>37.90944444444446</v>
      </c>
      <c r="BD34" s="173">
        <f t="shared" ca="1" si="41"/>
        <v>7.5818888888888925</v>
      </c>
      <c r="BE34" s="173">
        <f t="shared" ca="1" si="41"/>
        <v>10.10918518518519</v>
      </c>
      <c r="BF34" s="173">
        <f t="shared" ca="1" si="41"/>
        <v>20.21837037037038</v>
      </c>
      <c r="BG34" s="180"/>
      <c r="BH34" s="180"/>
      <c r="BI34" s="166">
        <f t="shared" ca="1" si="28"/>
        <v>36.900965811965804</v>
      </c>
      <c r="BJ34" s="167">
        <f t="shared" ca="1" si="42"/>
        <v>7.3801931623931623</v>
      </c>
      <c r="BK34" s="167">
        <f t="shared" ca="1" si="43"/>
        <v>9.8402575498575491</v>
      </c>
      <c r="BL34" s="167">
        <f t="shared" ca="1" si="44"/>
        <v>19.680515099715098</v>
      </c>
      <c r="BM34" s="178"/>
      <c r="BN34" s="178"/>
      <c r="BO34" s="169">
        <f t="shared" ca="1" si="31"/>
        <v>57.191046153846159</v>
      </c>
      <c r="BP34" s="170">
        <f ca="1">INDEX('Cap based on indoor unit SZ'!$V$43:$V$58,MATCH(AE34,'Cap based on indoor unit SZ'!$U$43:$U$58))</f>
        <v>11.956020512820512</v>
      </c>
      <c r="BQ34" s="170">
        <f ca="1">INDEX('Cap based on indoor unit SZ'!$V$43:$V$58,MATCH(AF34,'Cap based on indoor unit SZ'!$U$43:$U$58))</f>
        <v>14.945025641025641</v>
      </c>
      <c r="BR34" s="170">
        <f ca="1">INDEX('Cap based on indoor unit SZ'!$V$43:$V$58,MATCH(AG34,'Cap based on indoor unit SZ'!$U$43:$U$58))</f>
        <v>30.290000000000003</v>
      </c>
      <c r="BS34" s="179"/>
      <c r="BT34" s="179"/>
      <c r="BU34" s="175">
        <v>8500</v>
      </c>
      <c r="BV34" s="175">
        <v>9500</v>
      </c>
      <c r="BW34" s="175">
        <v>21000</v>
      </c>
      <c r="BX34" s="179"/>
      <c r="BY34" s="179"/>
      <c r="BZ34" s="172">
        <f t="shared" ca="1" si="32"/>
        <v>36.900965811965804</v>
      </c>
      <c r="CA34" s="173">
        <f t="shared" ca="1" si="45"/>
        <v>7.3801931623931623</v>
      </c>
      <c r="CB34" s="173">
        <f t="shared" ca="1" si="46"/>
        <v>9.8402575498575491</v>
      </c>
      <c r="CC34" s="173">
        <f t="shared" ca="1" si="47"/>
        <v>19.680515099715098</v>
      </c>
      <c r="CD34" s="180"/>
      <c r="CE34" s="180"/>
      <c r="CF34" s="166">
        <f t="shared" ca="1" si="35"/>
        <v>29.380279328125425</v>
      </c>
      <c r="CG34" s="167">
        <f t="shared" ca="1" si="36"/>
        <v>5.8760558656250845</v>
      </c>
      <c r="CH34" s="167">
        <f t="shared" ca="1" si="36"/>
        <v>7.83474115416678</v>
      </c>
      <c r="CI34" s="167">
        <f t="shared" ca="1" si="36"/>
        <v>15.66948230833356</v>
      </c>
      <c r="CJ34" s="178"/>
      <c r="CK34" s="178"/>
    </row>
    <row r="35" spans="2:89">
      <c r="B35" s="188">
        <v>30</v>
      </c>
      <c r="C35" s="189">
        <v>69.8</v>
      </c>
      <c r="D35" s="189">
        <v>59</v>
      </c>
      <c r="E35" s="190" t="s">
        <v>15</v>
      </c>
      <c r="F35" s="191">
        <v>36.954999999999998</v>
      </c>
      <c r="G35" s="192">
        <v>37.774999999999999</v>
      </c>
      <c r="H35" s="192">
        <v>37.730000000000004</v>
      </c>
      <c r="I35" s="192">
        <v>37.58</v>
      </c>
      <c r="J35" s="192">
        <v>37.664999999999999</v>
      </c>
      <c r="K35" s="192">
        <v>38.505000000000003</v>
      </c>
      <c r="L35" s="193">
        <v>38.375</v>
      </c>
      <c r="M35" s="193">
        <v>36.625</v>
      </c>
      <c r="N35" s="193">
        <v>34.69</v>
      </c>
      <c r="O35" s="193">
        <v>26.57</v>
      </c>
      <c r="P35" s="193">
        <v>24.56</v>
      </c>
      <c r="Q35" s="194">
        <v>21.805</v>
      </c>
      <c r="R35" s="195">
        <f t="shared" ca="1" si="37"/>
        <v>34.69</v>
      </c>
      <c r="S35" s="145"/>
      <c r="T35" s="145"/>
      <c r="U35" s="146" t="s">
        <v>96</v>
      </c>
      <c r="V35" s="147">
        <f ca="1">FORECAST(INDOOR_DB,OFFSET(R35:R38,MATCH(INDOOR_DB,C35:C38,1)-1,0,2),OFFSET(C35:C38,MATCH(INDOOR_DB,C35:C38,1)-1,0,2))</f>
        <v>37.90944444444446</v>
      </c>
      <c r="W35" s="145">
        <f>B35</f>
        <v>30</v>
      </c>
      <c r="X35" s="147">
        <f ca="1">IF(OR(INDOOR_DB&lt;C35,INDOOR_DB&gt;C38),V37,V35)</f>
        <v>37.90944444444446</v>
      </c>
      <c r="AC35" s="164" t="s">
        <v>173</v>
      </c>
      <c r="AD35" s="164">
        <v>30</v>
      </c>
      <c r="AE35" s="165">
        <v>9</v>
      </c>
      <c r="AF35" s="165">
        <v>18</v>
      </c>
      <c r="AG35" s="165">
        <v>18</v>
      </c>
      <c r="AH35" s="164"/>
      <c r="AI35" s="164"/>
      <c r="AJ35" s="501"/>
      <c r="AK35" s="166">
        <f t="shared" ca="1" si="20"/>
        <v>37.90944444444446</v>
      </c>
      <c r="AL35" s="167">
        <f t="shared" ca="1" si="38"/>
        <v>7.5818888888888925</v>
      </c>
      <c r="AM35" s="167">
        <f t="shared" ca="1" si="39"/>
        <v>15.163777777777785</v>
      </c>
      <c r="AN35" s="167">
        <f t="shared" ca="1" si="40"/>
        <v>15.163777777777785</v>
      </c>
      <c r="AO35" s="178"/>
      <c r="AP35" s="178"/>
      <c r="AQ35" s="169">
        <f t="shared" ca="1" si="23"/>
        <v>50.105333333333334</v>
      </c>
      <c r="AR35" s="170">
        <f ca="1">INDEX('Cap based on indoor unit SZ'!$J$6:$J$21,MATCH(AE35,'Cap based on indoor unit SZ'!$I$6:$I$21))</f>
        <v>10.463111111111111</v>
      </c>
      <c r="AS35" s="170">
        <f ca="1">INDEX('Cap based on indoor unit SZ'!$J$6:$J$21,MATCH(AF35,'Cap based on indoor unit SZ'!$I$6:$I$21))</f>
        <v>19.821111111111112</v>
      </c>
      <c r="AT35" s="170">
        <f ca="1">INDEX('Cap based on indoor unit SZ'!$J$6:$J$21,MATCH(AG35,'Cap based on indoor unit SZ'!$I$6:$I$21))</f>
        <v>19.821111111111112</v>
      </c>
      <c r="AU35" s="179"/>
      <c r="AV35" s="179"/>
      <c r="AW35" s="169">
        <f t="shared" si="24"/>
        <v>36</v>
      </c>
      <c r="AX35" s="170">
        <v>8</v>
      </c>
      <c r="AY35" s="170">
        <v>14</v>
      </c>
      <c r="AZ35" s="170">
        <v>14</v>
      </c>
      <c r="BA35" s="179"/>
      <c r="BB35" s="179"/>
      <c r="BC35" s="172">
        <f t="shared" ca="1" si="25"/>
        <v>37.90944444444446</v>
      </c>
      <c r="BD35" s="173">
        <f t="shared" ca="1" si="41"/>
        <v>7.5818888888888925</v>
      </c>
      <c r="BE35" s="173">
        <f t="shared" ca="1" si="41"/>
        <v>15.163777777777785</v>
      </c>
      <c r="BF35" s="173">
        <f t="shared" ca="1" si="41"/>
        <v>15.163777777777785</v>
      </c>
      <c r="BG35" s="180"/>
      <c r="BH35" s="180"/>
      <c r="BI35" s="166">
        <f t="shared" ca="1" si="28"/>
        <v>36.900965811965811</v>
      </c>
      <c r="BJ35" s="167">
        <f t="shared" ca="1" si="42"/>
        <v>7.3801931623931623</v>
      </c>
      <c r="BK35" s="167">
        <f t="shared" ca="1" si="43"/>
        <v>14.760386324786325</v>
      </c>
      <c r="BL35" s="167">
        <f t="shared" ca="1" si="44"/>
        <v>14.760386324786325</v>
      </c>
      <c r="BM35" s="178"/>
      <c r="BN35" s="178"/>
      <c r="BO35" s="169">
        <f t="shared" ca="1" si="31"/>
        <v>61.153661538461535</v>
      </c>
      <c r="BP35" s="170">
        <f ca="1">INDEX('Cap based on indoor unit SZ'!$V$43:$V$58,MATCH(AE35,'Cap based on indoor unit SZ'!$U$43:$U$58))</f>
        <v>11.956020512820512</v>
      </c>
      <c r="BQ35" s="170">
        <f ca="1">INDEX('Cap based on indoor unit SZ'!$V$43:$V$58,MATCH(AF35,'Cap based on indoor unit SZ'!$U$43:$U$58))</f>
        <v>24.598820512820513</v>
      </c>
      <c r="BR35" s="170">
        <f ca="1">INDEX('Cap based on indoor unit SZ'!$V$43:$V$58,MATCH(AG35,'Cap based on indoor unit SZ'!$U$43:$U$58))</f>
        <v>24.598820512820513</v>
      </c>
      <c r="BS35" s="179"/>
      <c r="BT35" s="179"/>
      <c r="BU35" s="175">
        <v>8500</v>
      </c>
      <c r="BV35" s="175">
        <v>14500</v>
      </c>
      <c r="BW35" s="175">
        <v>14500</v>
      </c>
      <c r="BX35" s="179"/>
      <c r="BY35" s="179"/>
      <c r="BZ35" s="172">
        <f t="shared" ca="1" si="32"/>
        <v>36.900965811965811</v>
      </c>
      <c r="CA35" s="173">
        <f t="shared" ca="1" si="45"/>
        <v>7.3801931623931623</v>
      </c>
      <c r="CB35" s="173">
        <f t="shared" ca="1" si="46"/>
        <v>14.760386324786325</v>
      </c>
      <c r="CC35" s="173">
        <f t="shared" ca="1" si="47"/>
        <v>14.760386324786325</v>
      </c>
      <c r="CD35" s="180"/>
      <c r="CE35" s="180"/>
      <c r="CF35" s="166">
        <f t="shared" ca="1" si="35"/>
        <v>29.380279328125425</v>
      </c>
      <c r="CG35" s="167">
        <f t="shared" ca="1" si="36"/>
        <v>5.8760558656250845</v>
      </c>
      <c r="CH35" s="167">
        <f t="shared" ca="1" si="36"/>
        <v>11.752111731250169</v>
      </c>
      <c r="CI35" s="167">
        <f t="shared" ca="1" si="36"/>
        <v>11.752111731250169</v>
      </c>
      <c r="CJ35" s="178"/>
      <c r="CK35" s="178"/>
    </row>
    <row r="36" spans="2:89">
      <c r="B36" s="196">
        <v>30</v>
      </c>
      <c r="C36" s="197">
        <v>75.2</v>
      </c>
      <c r="D36" s="197">
        <v>62.6</v>
      </c>
      <c r="E36" s="198" t="s">
        <v>15</v>
      </c>
      <c r="F36" s="199">
        <v>38.06</v>
      </c>
      <c r="G36" s="200">
        <v>38.905000000000001</v>
      </c>
      <c r="H36" s="200">
        <v>38.865000000000002</v>
      </c>
      <c r="I36" s="200">
        <v>38.709999999999994</v>
      </c>
      <c r="J36" s="200">
        <v>38.795000000000002</v>
      </c>
      <c r="K36" s="200">
        <v>39.659999999999997</v>
      </c>
      <c r="L36" s="201">
        <v>39.909999999999997</v>
      </c>
      <c r="M36" s="201">
        <v>39.555000000000007</v>
      </c>
      <c r="N36" s="201">
        <v>37.465000000000003</v>
      </c>
      <c r="O36" s="201">
        <v>28.695</v>
      </c>
      <c r="P36" s="201">
        <v>26.52</v>
      </c>
      <c r="Q36" s="202">
        <v>23.55</v>
      </c>
      <c r="R36" s="203">
        <f t="shared" ca="1" si="37"/>
        <v>37.465000000000018</v>
      </c>
      <c r="S36" s="152"/>
      <c r="T36" s="152"/>
      <c r="U36" s="146"/>
      <c r="V36" s="148"/>
      <c r="W36" s="145"/>
      <c r="X36" s="152"/>
      <c r="AC36" s="164" t="s">
        <v>217</v>
      </c>
      <c r="AD36" s="164">
        <v>30</v>
      </c>
      <c r="AE36" s="165">
        <v>12</v>
      </c>
      <c r="AF36" s="165">
        <v>12</v>
      </c>
      <c r="AG36" s="165">
        <v>12</v>
      </c>
      <c r="AH36" s="164"/>
      <c r="AI36" s="164"/>
      <c r="AJ36" s="501"/>
      <c r="AK36" s="166">
        <f t="shared" ca="1" si="20"/>
        <v>37.90944444444446</v>
      </c>
      <c r="AL36" s="167">
        <f t="shared" ca="1" si="38"/>
        <v>12.636481481481486</v>
      </c>
      <c r="AM36" s="167">
        <f t="shared" ca="1" si="39"/>
        <v>12.636481481481486</v>
      </c>
      <c r="AN36" s="167">
        <f t="shared" ca="1" si="40"/>
        <v>12.636481481481486</v>
      </c>
      <c r="AO36" s="178"/>
      <c r="AP36" s="178"/>
      <c r="AQ36" s="169">
        <f t="shared" ca="1" si="23"/>
        <v>39.236666666666672</v>
      </c>
      <c r="AR36" s="170">
        <f ca="1">INDEX('Cap based on indoor unit SZ'!$J$6:$J$21,MATCH(AE36,'Cap based on indoor unit SZ'!$I$6:$I$21))</f>
        <v>13.078888888888891</v>
      </c>
      <c r="AS36" s="170">
        <f ca="1">INDEX('Cap based on indoor unit SZ'!$J$6:$J$21,MATCH(AF36,'Cap based on indoor unit SZ'!$I$6:$I$21))</f>
        <v>13.078888888888891</v>
      </c>
      <c r="AT36" s="170">
        <f ca="1">INDEX('Cap based on indoor unit SZ'!$J$6:$J$21,MATCH(AG36,'Cap based on indoor unit SZ'!$I$6:$I$21))</f>
        <v>13.078888888888891</v>
      </c>
      <c r="AU36" s="179"/>
      <c r="AV36" s="179"/>
      <c r="AW36" s="169">
        <f t="shared" si="24"/>
        <v>33.999000000000002</v>
      </c>
      <c r="AX36" s="170">
        <v>11.333</v>
      </c>
      <c r="AY36" s="170">
        <v>11.333</v>
      </c>
      <c r="AZ36" s="170">
        <v>11.333</v>
      </c>
      <c r="BA36" s="179"/>
      <c r="BB36" s="179"/>
      <c r="BC36" s="172">
        <f t="shared" ca="1" si="25"/>
        <v>37.90944444444446</v>
      </c>
      <c r="BD36" s="173">
        <f t="shared" ca="1" si="41"/>
        <v>12.636481481481486</v>
      </c>
      <c r="BE36" s="173">
        <f t="shared" ca="1" si="41"/>
        <v>12.636481481481486</v>
      </c>
      <c r="BF36" s="173">
        <f t="shared" ca="1" si="41"/>
        <v>12.636481481481486</v>
      </c>
      <c r="BG36" s="180"/>
      <c r="BH36" s="180"/>
      <c r="BI36" s="166">
        <f t="shared" ca="1" si="28"/>
        <v>36.900965811965804</v>
      </c>
      <c r="BJ36" s="167">
        <f t="shared" ca="1" si="42"/>
        <v>12.300321937321936</v>
      </c>
      <c r="BK36" s="167">
        <f t="shared" ca="1" si="43"/>
        <v>12.300321937321936</v>
      </c>
      <c r="BL36" s="167">
        <f t="shared" ca="1" si="44"/>
        <v>12.300321937321936</v>
      </c>
      <c r="BM36" s="178"/>
      <c r="BN36" s="178"/>
      <c r="BO36" s="169">
        <f t="shared" ca="1" si="31"/>
        <v>44.835076923076926</v>
      </c>
      <c r="BP36" s="170">
        <f ca="1">INDEX('Cap based on indoor unit SZ'!$V$43:$V$58,MATCH(AE36,'Cap based on indoor unit SZ'!$U$43:$U$58))</f>
        <v>14.945025641025641</v>
      </c>
      <c r="BQ36" s="170">
        <f ca="1">INDEX('Cap based on indoor unit SZ'!$V$43:$V$58,MATCH(AF36,'Cap based on indoor unit SZ'!$U$43:$U$58))</f>
        <v>14.945025641025641</v>
      </c>
      <c r="BR36" s="170">
        <f ca="1">INDEX('Cap based on indoor unit SZ'!$V$43:$V$58,MATCH(AG36,'Cap based on indoor unit SZ'!$U$43:$U$58))</f>
        <v>14.945025641025641</v>
      </c>
      <c r="BS36" s="179"/>
      <c r="BT36" s="179"/>
      <c r="BU36" s="175">
        <v>12000</v>
      </c>
      <c r="BV36" s="175">
        <v>12000</v>
      </c>
      <c r="BW36" s="175">
        <v>12000</v>
      </c>
      <c r="BX36" s="179"/>
      <c r="BY36" s="179"/>
      <c r="BZ36" s="172">
        <f t="shared" ca="1" si="32"/>
        <v>36.900965811965804</v>
      </c>
      <c r="CA36" s="173">
        <f t="shared" ca="1" si="45"/>
        <v>12.300321937321936</v>
      </c>
      <c r="CB36" s="173">
        <f t="shared" ca="1" si="46"/>
        <v>12.300321937321936</v>
      </c>
      <c r="CC36" s="173">
        <f t="shared" ca="1" si="47"/>
        <v>12.300321937321936</v>
      </c>
      <c r="CD36" s="180"/>
      <c r="CE36" s="180"/>
      <c r="CF36" s="166">
        <f t="shared" ca="1" si="35"/>
        <v>29.380279328125418</v>
      </c>
      <c r="CG36" s="167">
        <f t="shared" ca="1" si="36"/>
        <v>9.7934264427084727</v>
      </c>
      <c r="CH36" s="167">
        <f t="shared" ca="1" si="36"/>
        <v>9.7934264427084727</v>
      </c>
      <c r="CI36" s="167">
        <f t="shared" ca="1" si="36"/>
        <v>9.7934264427084727</v>
      </c>
      <c r="CJ36" s="178"/>
      <c r="CK36" s="178"/>
    </row>
    <row r="37" spans="2:89">
      <c r="B37" s="196">
        <v>30</v>
      </c>
      <c r="C37" s="197">
        <v>80.599999999999994</v>
      </c>
      <c r="D37" s="197">
        <v>66.2</v>
      </c>
      <c r="E37" s="198" t="s">
        <v>15</v>
      </c>
      <c r="F37" s="199">
        <v>40.450000000000003</v>
      </c>
      <c r="G37" s="200">
        <v>41.34</v>
      </c>
      <c r="H37" s="200">
        <v>41.465000000000003</v>
      </c>
      <c r="I37" s="200">
        <v>41.905000000000001</v>
      </c>
      <c r="J37" s="200">
        <v>41.59</v>
      </c>
      <c r="K37" s="200">
        <v>41.614999999999995</v>
      </c>
      <c r="L37" s="201">
        <v>41.265000000000001</v>
      </c>
      <c r="M37" s="201">
        <v>39.769999999999996</v>
      </c>
      <c r="N37" s="201">
        <v>37.965000000000003</v>
      </c>
      <c r="O37" s="201">
        <v>30.740000000000002</v>
      </c>
      <c r="P37" s="201">
        <v>28.805</v>
      </c>
      <c r="Q37" s="202">
        <v>25.53</v>
      </c>
      <c r="R37" s="203">
        <f t="shared" ca="1" si="37"/>
        <v>37.965000000000018</v>
      </c>
      <c r="S37" s="152"/>
      <c r="T37" s="152"/>
      <c r="U37" s="146" t="s">
        <v>97</v>
      </c>
      <c r="V37" s="147">
        <f ca="1">TREND(R35:R38,C35:C38,INDOOR_DB)</f>
        <v>38.140997474747479</v>
      </c>
      <c r="W37" s="145"/>
      <c r="X37" s="152"/>
      <c r="AC37" s="164" t="s">
        <v>169</v>
      </c>
      <c r="AD37" s="164">
        <v>30</v>
      </c>
      <c r="AE37" s="165">
        <v>12</v>
      </c>
      <c r="AF37" s="165">
        <v>12</v>
      </c>
      <c r="AG37" s="165">
        <v>18</v>
      </c>
      <c r="AH37" s="164"/>
      <c r="AI37" s="164"/>
      <c r="AJ37" s="501"/>
      <c r="AK37" s="166">
        <f t="shared" ca="1" si="20"/>
        <v>37.90944444444446</v>
      </c>
      <c r="AL37" s="167">
        <f t="shared" ca="1" si="38"/>
        <v>10.831269841269846</v>
      </c>
      <c r="AM37" s="167">
        <f t="shared" ca="1" si="39"/>
        <v>10.831269841269846</v>
      </c>
      <c r="AN37" s="167">
        <f t="shared" ca="1" si="40"/>
        <v>16.246904761904769</v>
      </c>
      <c r="AO37" s="178"/>
      <c r="AP37" s="178"/>
      <c r="AQ37" s="169">
        <f t="shared" ca="1" si="23"/>
        <v>45.978888888888889</v>
      </c>
      <c r="AR37" s="170">
        <f ca="1">INDEX('Cap based on indoor unit SZ'!$J$6:$J$21,MATCH(AE37,'Cap based on indoor unit SZ'!$I$6:$I$21))</f>
        <v>13.078888888888891</v>
      </c>
      <c r="AS37" s="170">
        <f ca="1">INDEX('Cap based on indoor unit SZ'!$J$6:$J$21,MATCH(AF37,'Cap based on indoor unit SZ'!$I$6:$I$21))</f>
        <v>13.078888888888891</v>
      </c>
      <c r="AT37" s="170">
        <f ca="1">INDEX('Cap based on indoor unit SZ'!$J$6:$J$21,MATCH(AG37,'Cap based on indoor unit SZ'!$I$6:$I$21))</f>
        <v>19.821111111111112</v>
      </c>
      <c r="AU37" s="179"/>
      <c r="AV37" s="179"/>
      <c r="AW37" s="169">
        <f t="shared" si="24"/>
        <v>36</v>
      </c>
      <c r="AX37" s="170">
        <v>11</v>
      </c>
      <c r="AY37" s="170">
        <v>11</v>
      </c>
      <c r="AZ37" s="170">
        <v>14</v>
      </c>
      <c r="BA37" s="179"/>
      <c r="BB37" s="179"/>
      <c r="BC37" s="172">
        <f t="shared" ca="1" si="25"/>
        <v>37.90944444444446</v>
      </c>
      <c r="BD37" s="173">
        <f t="shared" ca="1" si="41"/>
        <v>10.831269841269846</v>
      </c>
      <c r="BE37" s="173">
        <f t="shared" ca="1" si="41"/>
        <v>10.831269841269846</v>
      </c>
      <c r="BF37" s="173">
        <f t="shared" ca="1" si="41"/>
        <v>16.246904761904769</v>
      </c>
      <c r="BG37" s="180"/>
      <c r="BH37" s="180"/>
      <c r="BI37" s="166">
        <f t="shared" ca="1" si="28"/>
        <v>36.900965811965818</v>
      </c>
      <c r="BJ37" s="167">
        <f t="shared" ca="1" si="42"/>
        <v>10.543133089133089</v>
      </c>
      <c r="BK37" s="167">
        <f t="shared" ca="1" si="43"/>
        <v>10.543133089133089</v>
      </c>
      <c r="BL37" s="167">
        <f t="shared" ca="1" si="44"/>
        <v>15.814699633699636</v>
      </c>
      <c r="BM37" s="178"/>
      <c r="BN37" s="178"/>
      <c r="BO37" s="169">
        <f t="shared" ca="1" si="31"/>
        <v>54.488871794871798</v>
      </c>
      <c r="BP37" s="170">
        <f ca="1">INDEX('Cap based on indoor unit SZ'!$V$43:$V$58,MATCH(AE37,'Cap based on indoor unit SZ'!$U$43:$U$58))</f>
        <v>14.945025641025641</v>
      </c>
      <c r="BQ37" s="170">
        <f ca="1">INDEX('Cap based on indoor unit SZ'!$V$43:$V$58,MATCH(AF37,'Cap based on indoor unit SZ'!$U$43:$U$58))</f>
        <v>14.945025641025641</v>
      </c>
      <c r="BR37" s="170">
        <f ca="1">INDEX('Cap based on indoor unit SZ'!$V$43:$V$58,MATCH(AG37,'Cap based on indoor unit SZ'!$U$43:$U$58))</f>
        <v>24.598820512820513</v>
      </c>
      <c r="BS37" s="179"/>
      <c r="BT37" s="179"/>
      <c r="BU37" s="175">
        <v>12000</v>
      </c>
      <c r="BV37" s="175">
        <v>12000</v>
      </c>
      <c r="BW37" s="175">
        <v>15000</v>
      </c>
      <c r="BX37" s="179"/>
      <c r="BY37" s="179"/>
      <c r="BZ37" s="172">
        <f t="shared" ca="1" si="32"/>
        <v>36.900965811965818</v>
      </c>
      <c r="CA37" s="173">
        <f t="shared" ca="1" si="45"/>
        <v>10.543133089133089</v>
      </c>
      <c r="CB37" s="173">
        <f t="shared" ca="1" si="46"/>
        <v>10.543133089133089</v>
      </c>
      <c r="CC37" s="173">
        <f t="shared" ca="1" si="47"/>
        <v>15.814699633699636</v>
      </c>
      <c r="CD37" s="180"/>
      <c r="CE37" s="180"/>
      <c r="CF37" s="166">
        <f t="shared" ca="1" si="35"/>
        <v>29.380279328125418</v>
      </c>
      <c r="CG37" s="167">
        <f t="shared" ca="1" si="36"/>
        <v>8.3943655223215483</v>
      </c>
      <c r="CH37" s="167">
        <f t="shared" ca="1" si="36"/>
        <v>8.3943655223215483</v>
      </c>
      <c r="CI37" s="167">
        <f t="shared" ca="1" si="36"/>
        <v>12.591548283482323</v>
      </c>
      <c r="CJ37" s="178"/>
      <c r="CK37" s="178"/>
    </row>
    <row r="38" spans="2:89" ht="14.4" thickBot="1">
      <c r="B38" s="204">
        <v>30</v>
      </c>
      <c r="C38" s="205">
        <v>89.6</v>
      </c>
      <c r="D38" s="205">
        <v>73.400000000000006</v>
      </c>
      <c r="E38" s="206" t="s">
        <v>15</v>
      </c>
      <c r="F38" s="207">
        <v>43.68</v>
      </c>
      <c r="G38" s="208">
        <v>44.645000000000003</v>
      </c>
      <c r="H38" s="208">
        <v>44.78</v>
      </c>
      <c r="I38" s="208">
        <v>45.255000000000003</v>
      </c>
      <c r="J38" s="208">
        <v>44.92</v>
      </c>
      <c r="K38" s="208">
        <v>44.945</v>
      </c>
      <c r="L38" s="209">
        <v>44.564999999999998</v>
      </c>
      <c r="M38" s="209">
        <v>42.95</v>
      </c>
      <c r="N38" s="209">
        <v>41.004999999999995</v>
      </c>
      <c r="O38" s="209">
        <v>33.195</v>
      </c>
      <c r="P38" s="209">
        <v>31.11</v>
      </c>
      <c r="Q38" s="210">
        <v>27.57</v>
      </c>
      <c r="R38" s="211">
        <f t="shared" ca="1" si="37"/>
        <v>41.004999999999995</v>
      </c>
      <c r="S38" s="152"/>
      <c r="T38" s="152"/>
      <c r="U38" s="146"/>
      <c r="V38" s="213"/>
      <c r="W38" s="152"/>
      <c r="X38" s="152"/>
      <c r="AC38" s="164" t="s">
        <v>167</v>
      </c>
      <c r="AD38" s="164">
        <v>30</v>
      </c>
      <c r="AE38" s="165">
        <v>12</v>
      </c>
      <c r="AF38" s="165">
        <v>18</v>
      </c>
      <c r="AG38" s="165">
        <v>18</v>
      </c>
      <c r="AH38" s="164"/>
      <c r="AI38" s="164"/>
      <c r="AJ38" s="501"/>
      <c r="AK38" s="166">
        <f t="shared" ca="1" si="20"/>
        <v>37.90944444444446</v>
      </c>
      <c r="AL38" s="167">
        <f t="shared" ca="1" si="38"/>
        <v>9.4773611111111151</v>
      </c>
      <c r="AM38" s="167">
        <f t="shared" ca="1" si="39"/>
        <v>14.216041666666673</v>
      </c>
      <c r="AN38" s="167">
        <f t="shared" ca="1" si="40"/>
        <v>14.216041666666673</v>
      </c>
      <c r="AO38" s="178"/>
      <c r="AP38" s="178"/>
      <c r="AQ38" s="169">
        <f t="shared" ca="1" si="23"/>
        <v>52.721111111111114</v>
      </c>
      <c r="AR38" s="170">
        <f ca="1">INDEX('Cap based on indoor unit SZ'!$J$6:$J$21,MATCH(AE38,'Cap based on indoor unit SZ'!$I$6:$I$21))</f>
        <v>13.078888888888891</v>
      </c>
      <c r="AS38" s="170">
        <f ca="1">INDEX('Cap based on indoor unit SZ'!$J$6:$J$21,MATCH(AF38,'Cap based on indoor unit SZ'!$I$6:$I$21))</f>
        <v>19.821111111111112</v>
      </c>
      <c r="AT38" s="170">
        <f ca="1">INDEX('Cap based on indoor unit SZ'!$J$6:$J$21,MATCH(AG38,'Cap based on indoor unit SZ'!$I$6:$I$21))</f>
        <v>19.821111111111112</v>
      </c>
      <c r="AU38" s="179"/>
      <c r="AV38" s="179"/>
      <c r="AW38" s="169">
        <f t="shared" si="24"/>
        <v>35.999000000000002</v>
      </c>
      <c r="AX38" s="170">
        <v>9.3330000000000002</v>
      </c>
      <c r="AY38" s="170">
        <v>13.333</v>
      </c>
      <c r="AZ38" s="170">
        <v>13.333</v>
      </c>
      <c r="BA38" s="179"/>
      <c r="BB38" s="179"/>
      <c r="BC38" s="172">
        <f t="shared" ca="1" si="25"/>
        <v>37.90944444444446</v>
      </c>
      <c r="BD38" s="173">
        <f t="shared" ca="1" si="41"/>
        <v>9.4773611111111151</v>
      </c>
      <c r="BE38" s="173">
        <f t="shared" ca="1" si="41"/>
        <v>14.216041666666673</v>
      </c>
      <c r="BF38" s="173">
        <f t="shared" ca="1" si="41"/>
        <v>14.216041666666673</v>
      </c>
      <c r="BG38" s="180"/>
      <c r="BH38" s="180"/>
      <c r="BI38" s="166">
        <f t="shared" ca="1" si="28"/>
        <v>36.900965811965811</v>
      </c>
      <c r="BJ38" s="167">
        <f t="shared" ca="1" si="42"/>
        <v>9.2252414529914528</v>
      </c>
      <c r="BK38" s="167">
        <f t="shared" ca="1" si="43"/>
        <v>13.83786217948718</v>
      </c>
      <c r="BL38" s="167">
        <f t="shared" ca="1" si="44"/>
        <v>13.83786217948718</v>
      </c>
      <c r="BM38" s="178"/>
      <c r="BN38" s="178"/>
      <c r="BO38" s="169">
        <f t="shared" ca="1" si="31"/>
        <v>64.14266666666667</v>
      </c>
      <c r="BP38" s="170">
        <f ca="1">INDEX('Cap based on indoor unit SZ'!$V$43:$V$58,MATCH(AE38,'Cap based on indoor unit SZ'!$U$43:$U$58))</f>
        <v>14.945025641025641</v>
      </c>
      <c r="BQ38" s="170">
        <f ca="1">INDEX('Cap based on indoor unit SZ'!$V$43:$V$58,MATCH(AF38,'Cap based on indoor unit SZ'!$U$43:$U$58))</f>
        <v>24.598820512820513</v>
      </c>
      <c r="BR38" s="170">
        <f ca="1">INDEX('Cap based on indoor unit SZ'!$V$43:$V$58,MATCH(AG38,'Cap based on indoor unit SZ'!$U$43:$U$58))</f>
        <v>24.598820512820513</v>
      </c>
      <c r="BS38" s="179"/>
      <c r="BT38" s="179"/>
      <c r="BU38" s="175">
        <v>10000</v>
      </c>
      <c r="BV38" s="175">
        <v>14500</v>
      </c>
      <c r="BW38" s="175">
        <v>14500</v>
      </c>
      <c r="BX38" s="179"/>
      <c r="BY38" s="179"/>
      <c r="BZ38" s="172">
        <f t="shared" ca="1" si="32"/>
        <v>36.900965811965811</v>
      </c>
      <c r="CA38" s="173">
        <f t="shared" ca="1" si="45"/>
        <v>9.2252414529914528</v>
      </c>
      <c r="CB38" s="173">
        <f t="shared" ca="1" si="46"/>
        <v>13.83786217948718</v>
      </c>
      <c r="CC38" s="173">
        <f t="shared" ca="1" si="47"/>
        <v>13.83786217948718</v>
      </c>
      <c r="CD38" s="180"/>
      <c r="CE38" s="180"/>
      <c r="CF38" s="166">
        <f t="shared" ca="1" si="35"/>
        <v>29.380279328125418</v>
      </c>
      <c r="CG38" s="167">
        <f t="shared" ca="1" si="36"/>
        <v>7.3450698320313554</v>
      </c>
      <c r="CH38" s="167">
        <f t="shared" ca="1" si="36"/>
        <v>11.017604748047033</v>
      </c>
      <c r="CI38" s="167">
        <f t="shared" ca="1" si="36"/>
        <v>11.017604748047033</v>
      </c>
      <c r="CJ38" s="178"/>
      <c r="CK38" s="178"/>
    </row>
    <row r="39" spans="2:89">
      <c r="B39" s="188">
        <v>36</v>
      </c>
      <c r="C39" s="189">
        <v>69.8</v>
      </c>
      <c r="D39" s="189">
        <v>59</v>
      </c>
      <c r="E39" s="190" t="s">
        <v>15</v>
      </c>
      <c r="F39" s="191">
        <v>36.85</v>
      </c>
      <c r="G39" s="192">
        <v>37.664999999999999</v>
      </c>
      <c r="H39" s="192">
        <v>37.234999999999999</v>
      </c>
      <c r="I39" s="192">
        <v>37.915000000000006</v>
      </c>
      <c r="J39" s="192">
        <v>38.295000000000002</v>
      </c>
      <c r="K39" s="192">
        <v>39.295000000000002</v>
      </c>
      <c r="L39" s="193">
        <v>39.75</v>
      </c>
      <c r="M39" s="193">
        <v>35.844999999999999</v>
      </c>
      <c r="N39" s="193">
        <v>33.01</v>
      </c>
      <c r="O39" s="193">
        <v>27.060000000000002</v>
      </c>
      <c r="P39" s="193">
        <v>24.875</v>
      </c>
      <c r="Q39" s="194">
        <v>22.67</v>
      </c>
      <c r="R39" s="195">
        <f t="shared" ca="1" si="37"/>
        <v>33.009999999999991</v>
      </c>
      <c r="S39" s="152"/>
      <c r="T39" s="152"/>
      <c r="U39" s="146" t="s">
        <v>96</v>
      </c>
      <c r="V39" s="147">
        <f ca="1">FORECAST(INDOOR_DB,OFFSET(R39:R42,MATCH(INDOOR_DB,C39:C42,1)-1,0,2),OFFSET(C39:C42,MATCH(INDOOR_DB,C39:C42,1)-1,0,2))</f>
        <v>39.961111111111109</v>
      </c>
      <c r="W39" s="145">
        <f>B39</f>
        <v>36</v>
      </c>
      <c r="X39" s="147">
        <f ca="1">IF(OR(INDOOR_DB&lt;C39,INDOOR_DB&gt;C42),V41,V39)</f>
        <v>39.961111111111109</v>
      </c>
      <c r="AC39" s="164" t="s">
        <v>214</v>
      </c>
      <c r="AD39" s="164">
        <v>30</v>
      </c>
      <c r="AE39" s="165">
        <v>12</v>
      </c>
      <c r="AF39" s="165">
        <v>12</v>
      </c>
      <c r="AG39" s="165">
        <v>24</v>
      </c>
      <c r="AH39" s="165"/>
      <c r="AI39" s="164"/>
      <c r="AJ39" s="501"/>
      <c r="AK39" s="166">
        <f t="shared" ca="1" si="20"/>
        <v>37.90944444444446</v>
      </c>
      <c r="AL39" s="167">
        <f t="shared" ca="1" si="38"/>
        <v>9.4773611111111151</v>
      </c>
      <c r="AM39" s="167">
        <f t="shared" ca="1" si="39"/>
        <v>9.4773611111111151</v>
      </c>
      <c r="AN39" s="167">
        <f t="shared" ca="1" si="40"/>
        <v>18.95472222222223</v>
      </c>
      <c r="AO39" s="178"/>
      <c r="AP39" s="178"/>
      <c r="AQ39" s="169">
        <f t="shared" ca="1" si="23"/>
        <v>50.61</v>
      </c>
      <c r="AR39" s="170">
        <f ca="1">INDEX('Cap based on indoor unit SZ'!$J$6:$J$21,MATCH(AE39,'Cap based on indoor unit SZ'!$I$6:$I$21))</f>
        <v>13.078888888888891</v>
      </c>
      <c r="AS39" s="170">
        <f ca="1">INDEX('Cap based on indoor unit SZ'!$J$6:$J$21,MATCH(AF39,'Cap based on indoor unit SZ'!$I$6:$I$21))</f>
        <v>13.078888888888891</v>
      </c>
      <c r="AT39" s="170">
        <f ca="1">INDEX('Cap based on indoor unit SZ'!$J$6:$J$21,MATCH(AG39,'Cap based on indoor unit SZ'!$I$6:$I$21))</f>
        <v>24.452222222222218</v>
      </c>
      <c r="AU39" s="179"/>
      <c r="AV39" s="179"/>
      <c r="AW39" s="169">
        <f t="shared" si="24"/>
        <v>36</v>
      </c>
      <c r="AX39" s="170">
        <v>8</v>
      </c>
      <c r="AY39" s="170">
        <v>8</v>
      </c>
      <c r="AZ39" s="170">
        <v>20</v>
      </c>
      <c r="BA39" s="179"/>
      <c r="BB39" s="179"/>
      <c r="BC39" s="172">
        <f t="shared" ca="1" si="25"/>
        <v>37.90944444444446</v>
      </c>
      <c r="BD39" s="173">
        <f t="shared" ca="1" si="41"/>
        <v>9.4773611111111151</v>
      </c>
      <c r="BE39" s="173">
        <f t="shared" ca="1" si="41"/>
        <v>9.4773611111111151</v>
      </c>
      <c r="BF39" s="173">
        <f t="shared" ca="1" si="41"/>
        <v>18.95472222222223</v>
      </c>
      <c r="BG39" s="180"/>
      <c r="BH39" s="180"/>
      <c r="BI39" s="166">
        <f t="shared" ca="1" si="28"/>
        <v>36.900965811965811</v>
      </c>
      <c r="BJ39" s="167">
        <f t="shared" ca="1" si="42"/>
        <v>9.2252414529914528</v>
      </c>
      <c r="BK39" s="167">
        <f t="shared" ca="1" si="43"/>
        <v>9.2252414529914528</v>
      </c>
      <c r="BL39" s="167">
        <f t="shared" ca="1" si="44"/>
        <v>18.450482905982906</v>
      </c>
      <c r="BM39" s="178"/>
      <c r="BN39" s="178"/>
      <c r="BO39" s="169">
        <f t="shared" ca="1" si="31"/>
        <v>60.180051282051281</v>
      </c>
      <c r="BP39" s="170">
        <f ca="1">INDEX('Cap based on indoor unit SZ'!$V$43:$V$58,MATCH(AE39,'Cap based on indoor unit SZ'!$U$43:$U$58))</f>
        <v>14.945025641025641</v>
      </c>
      <c r="BQ39" s="170">
        <f ca="1">INDEX('Cap based on indoor unit SZ'!$V$43:$V$58,MATCH(AF39,'Cap based on indoor unit SZ'!$U$43:$U$58))</f>
        <v>14.945025641025641</v>
      </c>
      <c r="BR39" s="170">
        <f ca="1">INDEX('Cap based on indoor unit SZ'!$V$43:$V$58,MATCH(AG39,'Cap based on indoor unit SZ'!$U$43:$U$58))</f>
        <v>30.290000000000003</v>
      </c>
      <c r="BS39" s="179"/>
      <c r="BT39" s="179"/>
      <c r="BU39" s="175">
        <v>9000</v>
      </c>
      <c r="BV39" s="175">
        <v>9000</v>
      </c>
      <c r="BW39" s="175">
        <v>21000</v>
      </c>
      <c r="BX39" s="179"/>
      <c r="BY39" s="179"/>
      <c r="BZ39" s="172">
        <f t="shared" ca="1" si="32"/>
        <v>36.900965811965811</v>
      </c>
      <c r="CA39" s="173">
        <f t="shared" ca="1" si="45"/>
        <v>9.2252414529914528</v>
      </c>
      <c r="CB39" s="173">
        <f t="shared" ca="1" si="46"/>
        <v>9.2252414529914528</v>
      </c>
      <c r="CC39" s="173">
        <f t="shared" ca="1" si="47"/>
        <v>18.450482905982906</v>
      </c>
      <c r="CD39" s="180"/>
      <c r="CE39" s="180"/>
      <c r="CF39" s="166">
        <f t="shared" ca="1" si="35"/>
        <v>29.380279328125422</v>
      </c>
      <c r="CG39" s="167">
        <f t="shared" ca="1" si="36"/>
        <v>7.3450698320313554</v>
      </c>
      <c r="CH39" s="167">
        <f t="shared" ca="1" si="36"/>
        <v>7.3450698320313554</v>
      </c>
      <c r="CI39" s="167">
        <f t="shared" ca="1" si="36"/>
        <v>14.690139664062711</v>
      </c>
      <c r="CJ39" s="178"/>
      <c r="CK39" s="178"/>
    </row>
    <row r="40" spans="2:89">
      <c r="B40" s="196">
        <v>36</v>
      </c>
      <c r="C40" s="197">
        <v>75.2</v>
      </c>
      <c r="D40" s="197">
        <v>62.6</v>
      </c>
      <c r="E40" s="198" t="s">
        <v>15</v>
      </c>
      <c r="F40" s="199">
        <v>38.86</v>
      </c>
      <c r="G40" s="200">
        <v>39.715000000000003</v>
      </c>
      <c r="H40" s="200">
        <v>39.254999999999995</v>
      </c>
      <c r="I40" s="200">
        <v>39.97</v>
      </c>
      <c r="J40" s="200">
        <v>40.370000000000005</v>
      </c>
      <c r="K40" s="200">
        <v>41.424999999999997</v>
      </c>
      <c r="L40" s="201">
        <v>42.11</v>
      </c>
      <c r="M40" s="201">
        <v>38.71</v>
      </c>
      <c r="N40" s="201">
        <v>35.65</v>
      </c>
      <c r="O40" s="201">
        <v>29.22</v>
      </c>
      <c r="P40" s="201">
        <v>26.864999999999998</v>
      </c>
      <c r="Q40" s="202">
        <v>24.484999999999999</v>
      </c>
      <c r="R40" s="203">
        <f t="shared" ca="1" si="37"/>
        <v>35.650000000000006</v>
      </c>
      <c r="S40" s="152"/>
      <c r="T40" s="152"/>
      <c r="U40" s="146"/>
      <c r="V40" s="148"/>
      <c r="W40" s="145"/>
      <c r="X40" s="152"/>
      <c r="AC40" s="164" t="s">
        <v>162</v>
      </c>
      <c r="AD40" s="164">
        <v>30</v>
      </c>
      <c r="AE40" s="165">
        <v>9</v>
      </c>
      <c r="AF40" s="165">
        <v>9</v>
      </c>
      <c r="AG40" s="165">
        <v>9</v>
      </c>
      <c r="AH40" s="165">
        <v>9</v>
      </c>
      <c r="AI40" s="164"/>
      <c r="AJ40" s="510">
        <v>4</v>
      </c>
      <c r="AK40" s="166">
        <f t="shared" ca="1" si="20"/>
        <v>37.90944444444446</v>
      </c>
      <c r="AL40" s="167">
        <f t="shared" ref="AL40:AL46" ca="1" si="48">IF((INDEX($AA$4:$AA$7,MATCH(INDOOR_1,$Z$4:$Z$7))*(INDEX($X$27:$X$46,MATCH($AD40,$W$27:$W$46,1))/(INDEX($AA$4:$AA$7,MATCH(INDOOR_1,$Z$4:$Z$7))+INDEX($AA$4:$AA$7,MATCH(INDOOR_2,$Z$4:$Z$7))+INDEX($AA$4:$AA$7,MATCH(INDOOR_3,$Z$4:$Z$7))+INDEX($AA$4:$AA$7,MATCH(INDOOR_4,$Z$4:$Z$7)))))
&gt;AR40,AR40,
(INDEX($AA$4:$AA$7,MATCH(INDOOR_1,$Z$4:$Z$7))*(INDEX($X$27:$X$46,MATCH($AD40,$W$27:$W$46,1))/(INDEX($AA$4:$AA$7,MATCH(INDOOR_1,$Z$4:$Z$7))+INDEX($AA$4:$AA$7,MATCH(INDOOR_2,$Z$4:$Z$7))+INDEX($AA$4:$AA$7,MATCH(INDOOR_3,$Z$4:$Z$7))+INDEX($AA$4:$AA$7,MATCH(INDOOR_4,$Z$4:$Z$7))))))</f>
        <v>9.4773611111111151</v>
      </c>
      <c r="AM40" s="167">
        <f t="shared" ref="AM40:AM46" ca="1" si="49">IF((INDEX($AA$4:$AA$7,MATCH(INDOOR_2,$Z$4:$Z$7))*(INDEX($X$27:$X$46,MATCH($AD40,$W$27:$W$46,1))/(INDEX($AA$4:$AA$7,MATCH(INDOOR_1,$Z$4:$Z$7))+INDEX($AA$4:$AA$7,MATCH(INDOOR_2,$Z$4:$Z$7))+INDEX($AA$4:$AA$7,MATCH(INDOOR_3,$Z$4:$Z$7))+INDEX($AA$4:$AA$7,MATCH(INDOOR_4,$Z$4:$Z$7)))))
&gt;AS40,AS40,
(INDEX($AA$4:$AA$7,MATCH(INDOOR_2,$Z$4:$Z$7))*(INDEX($X$27:$X$46,MATCH($AD40,$W$27:$W$46,1))/(INDEX($AA$4:$AA$7,MATCH(INDOOR_1,$Z$4:$Z$7))+INDEX($AA$4:$AA$7,MATCH(INDOOR_2,$Z$4:$Z$7))+INDEX($AA$4:$AA$7,MATCH(INDOOR_3,$Z$4:$Z$7))+INDEX($AA$4:$AA$7,MATCH(INDOOR_4,$Z$4:$Z$7))))))</f>
        <v>9.4773611111111151</v>
      </c>
      <c r="AN40" s="167">
        <f t="shared" ref="AN40:AN46" ca="1" si="50">IF((INDEX($AA$4:$AA$7,MATCH(INDOOR_3,$Z$4:$Z$7))*(INDEX($X$27:$X$46,MATCH($AD40,$W$27:$W$46,1))/(INDEX($AA$4:$AA$7,MATCH(INDOOR_1,$Z$4:$Z$7))+INDEX($AA$4:$AA$7,MATCH(INDOOR_2,$Z$4:$Z$7))+INDEX($AA$4:$AA$7,MATCH(INDOOR_3,$Z$4:$Z$7))+INDEX($AA$4:$AA$7,MATCH(INDOOR_4,$Z$4:$Z$7)))))
&gt;AT40,AT40,
(INDEX($AA$4:$AA$7,MATCH(INDOOR_3,$Z$4:$Z$7))*(INDEX($X$27:$X$46,MATCH($AD40,$W$27:$W$46,1))/(INDEX($AA$4:$AA$7,MATCH(INDOOR_1,$Z$4:$Z$7))+INDEX($AA$4:$AA$7,MATCH(INDOOR_2,$Z$4:$Z$7))+INDEX($AA$4:$AA$7,MATCH(INDOOR_3,$Z$4:$Z$7))+INDEX($AA$4:$AA$7,MATCH(INDOOR_4,$Z$4:$Z$7))))))</f>
        <v>9.4773611111111151</v>
      </c>
      <c r="AO40" s="167">
        <f t="shared" ref="AO40:AO46" ca="1" si="51">IF((INDEX($AA$4:$AA$7,MATCH(INDOOR_4,$Z$4:$Z$7))*(INDEX($X$27:$X$46,MATCH($AD40,$W$27:$W$46,1))/(INDEX($AA$4:$AA$7,MATCH(INDOOR_1,$Z$4:$Z$7))+INDEX($AA$4:$AA$7,MATCH(INDOOR_2,$Z$4:$Z$7))+INDEX($AA$4:$AA$7,MATCH(INDOOR_3,$Z$4:$Z$7))+INDEX($AA$4:$AA$7,MATCH(INDOOR_4,$Z$4:$Z$7)))))
&gt;AU40,AU40,
(INDEX($AA$4:$AA$7,MATCH(INDOOR_4,$Z$4:$Z$7))*(INDEX($X$27:$X$46,MATCH($AD40,$W$27:$W$46,1))/(INDEX($AA$4:$AA$7,MATCH(INDOOR_1,$Z$4:$Z$7))+INDEX($AA$4:$AA$7,MATCH(INDOOR_2,$Z$4:$Z$7))+INDEX($AA$4:$AA$7,MATCH(INDOOR_3,$Z$4:$Z$7))+INDEX($AA$4:$AA$7,MATCH(INDOOR_4,$Z$4:$Z$7))))))</f>
        <v>9.4773611111111151</v>
      </c>
      <c r="AP40" s="178"/>
      <c r="AQ40" s="169">
        <f t="shared" ca="1" si="23"/>
        <v>41.852444444444444</v>
      </c>
      <c r="AR40" s="170">
        <f ca="1">INDEX('Cap based on indoor unit SZ'!$J$6:$J$21,MATCH(AE40,'Cap based on indoor unit SZ'!$I$6:$I$21))</f>
        <v>10.463111111111111</v>
      </c>
      <c r="AS40" s="170">
        <f ca="1">INDEX('Cap based on indoor unit SZ'!$J$6:$J$21,MATCH(AF40,'Cap based on indoor unit SZ'!$I$6:$I$21))</f>
        <v>10.463111111111111</v>
      </c>
      <c r="AT40" s="170">
        <f ca="1">INDEX('Cap based on indoor unit SZ'!$J$6:$J$21,MATCH(AG40,'Cap based on indoor unit SZ'!$I$6:$I$21))</f>
        <v>10.463111111111111</v>
      </c>
      <c r="AU40" s="170">
        <f ca="1">INDEX('Cap based on indoor unit SZ'!$J$6:$J$21,MATCH(AH40,'Cap based on indoor unit SZ'!$I$6:$I$21))</f>
        <v>10.463111111111111</v>
      </c>
      <c r="AV40" s="179"/>
      <c r="AW40" s="169">
        <f t="shared" si="24"/>
        <v>36</v>
      </c>
      <c r="AX40" s="170">
        <v>9</v>
      </c>
      <c r="AY40" s="170">
        <v>9</v>
      </c>
      <c r="AZ40" s="170">
        <v>9</v>
      </c>
      <c r="BA40" s="170">
        <v>9</v>
      </c>
      <c r="BB40" s="179"/>
      <c r="BC40" s="172">
        <f t="shared" ca="1" si="25"/>
        <v>37.90944444444446</v>
      </c>
      <c r="BD40" s="173">
        <f t="shared" ref="BD40:BG46" ca="1" si="52">(INDEX($AA$4:$AA$7,MATCH(AE40,$Z$4:$Z$7))*(INDEX($X$27:$X$46,MATCH($AD40,$W$27:$W$46,1))/(INDEX($AA$4:$AA$7,MATCH($AE40,$Z$4:$Z$7))+INDEX($AA$4:$AA$7,MATCH($AF40,$Z$4:$Z$7))+INDEX($AA$4:$AA$7,MATCH($AG40,$Z$4:$Z$7))+INDEX($AA$4:$AA$7,MATCH($AH40,$Z$4:$Z$7)))))</f>
        <v>9.4773611111111151</v>
      </c>
      <c r="BE40" s="173">
        <f t="shared" ca="1" si="52"/>
        <v>9.4773611111111151</v>
      </c>
      <c r="BF40" s="173">
        <f t="shared" ca="1" si="52"/>
        <v>9.4773611111111151</v>
      </c>
      <c r="BG40" s="173">
        <f t="shared" ca="1" si="52"/>
        <v>9.4773611111111151</v>
      </c>
      <c r="BH40" s="180"/>
      <c r="BI40" s="166">
        <f t="shared" ca="1" si="28"/>
        <v>36.900965811965811</v>
      </c>
      <c r="BJ40" s="167">
        <f t="shared" ref="BJ40:BJ46" ca="1" si="53">IF((INDEX($AA$4:$AA$7,MATCH(INDOOR_1,$Z$4:$Z$7))*(INDEX($X$118:$X$137,MATCH($AD40,$W$118:$W$137,1))/(INDEX($AA$4:$AA$7,MATCH(INDOOR_1,$Z$4:$Z$7))+INDEX($AA$4:$AA$7,MATCH(INDOOR_2,$Z$4:$Z$7))+INDEX($AA$4:$AA$7,MATCH(INDOOR_3,$Z$4:$Z$7))+INDEX($AA$4:$AA$7,MATCH(INDOOR_4,$Z$4:$Z$7)))))
&gt;BP40,BP40,
(INDEX($AA$4:$AA$7,MATCH(INDOOR_1,$Z$4:$Z$7))*(INDEX($X$118:$X$137,MATCH($AD40,$W$118:$W$137,1))/(INDEX($AA$4:$AA$7,MATCH(INDOOR_1,$Z$4:$Z$7))+INDEX($AA$4:$AA$7,MATCH(INDOOR_2,$Z$4:$Z$7))+INDEX($AA$4:$AA$7,MATCH(INDOOR_3,$Z$4:$Z$7))+INDEX($AA$4:$AA$7,MATCH(INDOOR_4,$Z$4:$Z$7))))))</f>
        <v>9.2252414529914528</v>
      </c>
      <c r="BK40" s="167">
        <f t="shared" ref="BK40:BK46" ca="1" si="54">IF((INDEX($AA$4:$AA$7,MATCH(INDOOR_2,$Z$4:$Z$7))*(INDEX($X$118:$X$137,MATCH($AD40,$W$118:$W$137,1))/(INDEX($AA$4:$AA$7,MATCH(INDOOR_1,$Z$4:$Z$7))+INDEX($AA$4:$AA$7,MATCH(INDOOR_2,$Z$4:$Z$7))+INDEX($AA$4:$AA$7,MATCH(INDOOR_3,$Z$4:$Z$7))+INDEX($AA$4:$AA$7,MATCH(INDOOR_4,$Z$4:$Z$7)))))
&gt;BQ40,BQ40,
(INDEX($AA$4:$AA$7,MATCH(INDOOR_2,$Z$4:$Z$7))*(INDEX($X$118:$X$137,MATCH($AD40,$W$118:$W$137,1))/(INDEX($AA$4:$AA$7,MATCH(INDOOR_1,$Z$4:$Z$7))+INDEX($AA$4:$AA$7,MATCH(INDOOR_2,$Z$4:$Z$7))+INDEX($AA$4:$AA$7,MATCH(INDOOR_3,$Z$4:$Z$7))+INDEX($AA$4:$AA$7,MATCH(INDOOR_4,$Z$4:$Z$7))))))</f>
        <v>9.2252414529914528</v>
      </c>
      <c r="BL40" s="167">
        <f t="shared" ref="BL40:BL46" ca="1" si="55">IF((INDEX($AA$4:$AA$7,MATCH(INDOOR_3,$Z$4:$Z$7))*(INDEX($X$118:$X$137,MATCH($AD40,$W$118:$W$137,1))/(INDEX($AA$4:$AA$7,MATCH(INDOOR_1,$Z$4:$Z$7))+INDEX($AA$4:$AA$7,MATCH(INDOOR_2,$Z$4:$Z$7))+INDEX($AA$4:$AA$7,MATCH(INDOOR_3,$Z$4:$Z$7))+INDEX($AA$4:$AA$7,MATCH(INDOOR_4,$Z$4:$Z$7)))))
&gt;BR40,BR40,
(INDEX($AA$4:$AA$7,MATCH(INDOOR_3,$Z$4:$Z$7))*(INDEX($X$118:$X$137,MATCH($AD40,$W$118:$W$137,1))/(INDEX($AA$4:$AA$7,MATCH(INDOOR_1,$Z$4:$Z$7))+INDEX($AA$4:$AA$7,MATCH(INDOOR_2,$Z$4:$Z$7))+INDEX($AA$4:$AA$7,MATCH(INDOOR_3,$Z$4:$Z$7))+INDEX($AA$4:$AA$7,MATCH(INDOOR_4,$Z$4:$Z$7))))))</f>
        <v>9.2252414529914528</v>
      </c>
      <c r="BM40" s="167">
        <f t="shared" ref="BM40:BM46" ca="1" si="56">IF((INDEX($AA$4:$AA$7,MATCH(INDOOR_4,$Z$4:$Z$7))*(INDEX($X$118:$X$137,MATCH($AD40,$W$118:$W$137,1))/(INDEX($AA$4:$AA$7,MATCH(INDOOR_1,$Z$4:$Z$7))+INDEX($AA$4:$AA$7,MATCH(INDOOR_2,$Z$4:$Z$7))+INDEX($AA$4:$AA$7,MATCH(INDOOR_3,$Z$4:$Z$7))+INDEX($AA$4:$AA$7,MATCH(INDOOR_4,$Z$4:$Z$7)))))
&gt;BS40,BS40,
(INDEX($AA$4:$AA$7,MATCH(INDOOR_4,$Z$4:$Z$7))*(INDEX($X$118:$X$137,MATCH($AD40,$W$118:$W$137,1))/(INDEX($AA$4:$AA$7,MATCH(INDOOR_1,$Z$4:$Z$7))+INDEX($AA$4:$AA$7,MATCH(INDOOR_2,$Z$4:$Z$7))+INDEX($AA$4:$AA$7,MATCH(INDOOR_3,$Z$4:$Z$7))+INDEX($AA$4:$AA$7,MATCH(INDOOR_4,$Z$4:$Z$7))))))</f>
        <v>9.2252414529914528</v>
      </c>
      <c r="BN40" s="178"/>
      <c r="BO40" s="169">
        <f t="shared" ca="1" si="31"/>
        <v>47.824082051282048</v>
      </c>
      <c r="BP40" s="170">
        <f ca="1">INDEX('Cap based on indoor unit SZ'!$V$43:$V$58,MATCH(AE40,'Cap based on indoor unit SZ'!$U$43:$U$58))</f>
        <v>11.956020512820512</v>
      </c>
      <c r="BQ40" s="170">
        <f ca="1">INDEX('Cap based on indoor unit SZ'!$V$43:$V$58,MATCH(AF40,'Cap based on indoor unit SZ'!$U$43:$U$58))</f>
        <v>11.956020512820512</v>
      </c>
      <c r="BR40" s="170">
        <f ca="1">INDEX('Cap based on indoor unit SZ'!$V$43:$V$58,MATCH(AG40,'Cap based on indoor unit SZ'!$U$43:$U$58))</f>
        <v>11.956020512820512</v>
      </c>
      <c r="BS40" s="170">
        <f ca="1">INDEX('Cap based on indoor unit SZ'!$V$43:$V$58,MATCH(AH40,'Cap based on indoor unit SZ'!$U$43:$U$58))</f>
        <v>11.956020512820512</v>
      </c>
      <c r="BT40" s="179"/>
      <c r="BU40" s="175">
        <v>9500</v>
      </c>
      <c r="BV40" s="175">
        <v>9500</v>
      </c>
      <c r="BW40" s="175">
        <v>9500</v>
      </c>
      <c r="BX40" s="175">
        <v>9500</v>
      </c>
      <c r="BY40" s="179"/>
      <c r="BZ40" s="172">
        <f t="shared" ca="1" si="32"/>
        <v>36.900965811965811</v>
      </c>
      <c r="CA40" s="173">
        <f t="shared" ref="CA40:CA46" ca="1" si="57">(INDEX($AA$4:$AA$7,MATCH(INDOOR_1,$Z$4:$Z$7))*(INDEX($X$118:$X$137,MATCH($AD40,$W$118:$W$137,1))/(INDEX($AA$4:$AA$7,MATCH(INDOOR_1,$Z$4:$Z$7))+INDEX($AA$4:$AA$7,MATCH(INDOOR_2,$Z$4:$Z$7))+INDEX($AA$4:$AA$7,MATCH(INDOOR_3,$Z$4:$Z$7))+INDEX($AA$4:$AA$7,MATCH(INDOOR_4,$Z$4:$Z$7)))))</f>
        <v>9.2252414529914528</v>
      </c>
      <c r="CB40" s="173">
        <f t="shared" ref="CB40:CB46" ca="1" si="58">(INDEX($AA$4:$AA$7,MATCH(INDOOR_2,$Z$4:$Z$7))*(INDEX($X$118:$X$137,MATCH($AD40,$W$118:$W$137,1))/(INDEX($AA$4:$AA$7,MATCH(INDOOR_1,$Z$4:$Z$7))+INDEX($AA$4:$AA$7,MATCH(INDOOR_2,$Z$4:$Z$7))+INDEX($AA$4:$AA$7,MATCH(INDOOR_3,$Z$4:$Z$7))+INDEX($AA$4:$AA$7,MATCH(INDOOR_4,$Z$4:$Z$7)))))</f>
        <v>9.2252414529914528</v>
      </c>
      <c r="CC40" s="173">
        <f t="shared" ref="CC40:CC46" ca="1" si="59">(INDEX($AA$4:$AA$7,MATCH(INDOOR_3,$Z$4:$Z$7))*(INDEX($X$118:$X$137,MATCH($AD40,$W$118:$W$137,1))/(INDEX($AA$4:$AA$7,MATCH(INDOOR_1,$Z$4:$Z$7))+INDEX($AA$4:$AA$7,MATCH(INDOOR_2,$Z$4:$Z$7))+INDEX($AA$4:$AA$7,MATCH(INDOOR_3,$Z$4:$Z$7))+INDEX($AA$4:$AA$7,MATCH(INDOOR_4,$Z$4:$Z$7)))))</f>
        <v>9.2252414529914528</v>
      </c>
      <c r="CD40" s="173">
        <f t="shared" ref="CD40:CD46" ca="1" si="60">(INDEX($AA$4:$AA$7,MATCH(INDOOR_4,$Z$4:$Z$7))*(INDEX($X$118:$X$137,MATCH($AD40,$W$118:$W$137,1))/(INDEX($AA$4:$AA$7,MATCH(INDOOR_1,$Z$4:$Z$7))+INDEX($AA$4:$AA$7,MATCH(INDOOR_2,$Z$4:$Z$7))+INDEX($AA$4:$AA$7,MATCH(INDOOR_3,$Z$4:$Z$7))+INDEX($AA$4:$AA$7,MATCH(INDOOR_4,$Z$4:$Z$7)))))</f>
        <v>9.2252414529914528</v>
      </c>
      <c r="CE40" s="180"/>
      <c r="CF40" s="166">
        <f t="shared" ca="1" si="35"/>
        <v>29.380279328125422</v>
      </c>
      <c r="CG40" s="167">
        <f t="shared" ca="1" si="36"/>
        <v>7.3450698320313554</v>
      </c>
      <c r="CH40" s="167">
        <f t="shared" ca="1" si="36"/>
        <v>7.3450698320313554</v>
      </c>
      <c r="CI40" s="167">
        <f t="shared" ca="1" si="36"/>
        <v>7.3450698320313554</v>
      </c>
      <c r="CJ40" s="167">
        <f t="shared" ca="1" si="36"/>
        <v>7.3450698320313554</v>
      </c>
      <c r="CK40" s="178"/>
    </row>
    <row r="41" spans="2:89">
      <c r="B41" s="196">
        <v>36</v>
      </c>
      <c r="C41" s="197">
        <v>80.599999999999994</v>
      </c>
      <c r="D41" s="197">
        <v>66.2</v>
      </c>
      <c r="E41" s="198" t="s">
        <v>15</v>
      </c>
      <c r="F41" s="199">
        <v>41.68</v>
      </c>
      <c r="G41" s="200">
        <v>42.6</v>
      </c>
      <c r="H41" s="200">
        <v>42.28</v>
      </c>
      <c r="I41" s="200">
        <v>43.099999999999994</v>
      </c>
      <c r="J41" s="200">
        <v>43.480000000000004</v>
      </c>
      <c r="K41" s="200">
        <v>43.95</v>
      </c>
      <c r="L41" s="201">
        <v>44.844999999999999</v>
      </c>
      <c r="M41" s="201">
        <v>42.69</v>
      </c>
      <c r="N41" s="201">
        <v>40.5</v>
      </c>
      <c r="O41" s="201">
        <v>33.619999999999997</v>
      </c>
      <c r="P41" s="201">
        <v>31.17</v>
      </c>
      <c r="Q41" s="202">
        <v>26.515000000000001</v>
      </c>
      <c r="R41" s="203">
        <f t="shared" ca="1" si="37"/>
        <v>40.5</v>
      </c>
      <c r="S41" s="152"/>
      <c r="T41" s="152"/>
      <c r="U41" s="146" t="s">
        <v>97</v>
      </c>
      <c r="V41" s="147">
        <f ca="1">TREND(R39:R42,C39:C42,INDOOR_DB)</f>
        <v>38.71281565656566</v>
      </c>
      <c r="W41" s="145"/>
      <c r="X41" s="152"/>
      <c r="AC41" s="164" t="s">
        <v>161</v>
      </c>
      <c r="AD41" s="164">
        <v>30</v>
      </c>
      <c r="AE41" s="165">
        <v>9</v>
      </c>
      <c r="AF41" s="165">
        <v>9</v>
      </c>
      <c r="AG41" s="165">
        <v>9</v>
      </c>
      <c r="AH41" s="165">
        <v>12</v>
      </c>
      <c r="AI41" s="164"/>
      <c r="AJ41" s="510"/>
      <c r="AK41" s="166">
        <f t="shared" ca="1" si="20"/>
        <v>37.909444444444468</v>
      </c>
      <c r="AL41" s="167">
        <f t="shared" ca="1" si="48"/>
        <v>8.7483333333333384</v>
      </c>
      <c r="AM41" s="167">
        <f t="shared" ca="1" si="49"/>
        <v>8.7483333333333384</v>
      </c>
      <c r="AN41" s="167">
        <f t="shared" ca="1" si="50"/>
        <v>8.7483333333333384</v>
      </c>
      <c r="AO41" s="167">
        <f t="shared" ca="1" si="51"/>
        <v>11.664444444444451</v>
      </c>
      <c r="AP41" s="178"/>
      <c r="AQ41" s="169">
        <f t="shared" ca="1" si="23"/>
        <v>44.468222222222224</v>
      </c>
      <c r="AR41" s="170">
        <f ca="1">INDEX('Cap based on indoor unit SZ'!$J$6:$J$21,MATCH(AE41,'Cap based on indoor unit SZ'!$I$6:$I$21))</f>
        <v>10.463111111111111</v>
      </c>
      <c r="AS41" s="170">
        <f ca="1">INDEX('Cap based on indoor unit SZ'!$J$6:$J$21,MATCH(AF41,'Cap based on indoor unit SZ'!$I$6:$I$21))</f>
        <v>10.463111111111111</v>
      </c>
      <c r="AT41" s="170">
        <f ca="1">INDEX('Cap based on indoor unit SZ'!$J$6:$J$21,MATCH(AG41,'Cap based on indoor unit SZ'!$I$6:$I$21))</f>
        <v>10.463111111111111</v>
      </c>
      <c r="AU41" s="170">
        <f ca="1">INDEX('Cap based on indoor unit SZ'!$J$6:$J$21,MATCH(AH41,'Cap based on indoor unit SZ'!$I$6:$I$21))</f>
        <v>13.078888888888891</v>
      </c>
      <c r="AV41" s="179"/>
      <c r="AW41" s="169">
        <f t="shared" si="24"/>
        <v>36.5</v>
      </c>
      <c r="AX41" s="170">
        <v>8.5</v>
      </c>
      <c r="AY41" s="170">
        <v>8.5</v>
      </c>
      <c r="AZ41" s="170">
        <v>8.5</v>
      </c>
      <c r="BA41" s="170">
        <v>11</v>
      </c>
      <c r="BB41" s="179"/>
      <c r="BC41" s="172">
        <f t="shared" ca="1" si="25"/>
        <v>37.909444444444468</v>
      </c>
      <c r="BD41" s="173">
        <f t="shared" ca="1" si="52"/>
        <v>8.7483333333333384</v>
      </c>
      <c r="BE41" s="173">
        <f t="shared" ca="1" si="52"/>
        <v>8.7483333333333384</v>
      </c>
      <c r="BF41" s="173">
        <f t="shared" ca="1" si="52"/>
        <v>8.7483333333333384</v>
      </c>
      <c r="BG41" s="173">
        <f t="shared" ca="1" si="52"/>
        <v>11.664444444444451</v>
      </c>
      <c r="BH41" s="180"/>
      <c r="BI41" s="166">
        <f t="shared" ca="1" si="28"/>
        <v>36.900965811965811</v>
      </c>
      <c r="BJ41" s="167">
        <f t="shared" ca="1" si="53"/>
        <v>8.5156074950690339</v>
      </c>
      <c r="BK41" s="167">
        <f t="shared" ca="1" si="54"/>
        <v>8.5156074950690339</v>
      </c>
      <c r="BL41" s="167">
        <f t="shared" ca="1" si="55"/>
        <v>8.5156074950690339</v>
      </c>
      <c r="BM41" s="167">
        <f t="shared" ca="1" si="56"/>
        <v>11.354143326758711</v>
      </c>
      <c r="BN41" s="178"/>
      <c r="BO41" s="169">
        <f t="shared" ca="1" si="31"/>
        <v>50.813087179487169</v>
      </c>
      <c r="BP41" s="170">
        <f ca="1">INDEX('Cap based on indoor unit SZ'!$V$43:$V$58,MATCH(AE41,'Cap based on indoor unit SZ'!$U$43:$U$58))</f>
        <v>11.956020512820512</v>
      </c>
      <c r="BQ41" s="170">
        <f ca="1">INDEX('Cap based on indoor unit SZ'!$V$43:$V$58,MATCH(AF41,'Cap based on indoor unit SZ'!$U$43:$U$58))</f>
        <v>11.956020512820512</v>
      </c>
      <c r="BR41" s="170">
        <f ca="1">INDEX('Cap based on indoor unit SZ'!$V$43:$V$58,MATCH(AG41,'Cap based on indoor unit SZ'!$U$43:$U$58))</f>
        <v>11.956020512820512</v>
      </c>
      <c r="BS41" s="170">
        <f ca="1">INDEX('Cap based on indoor unit SZ'!$V$43:$V$58,MATCH(AH41,'Cap based on indoor unit SZ'!$U$43:$U$58))</f>
        <v>14.945025641025641</v>
      </c>
      <c r="BT41" s="179"/>
      <c r="BU41" s="175">
        <v>9000</v>
      </c>
      <c r="BV41" s="175">
        <v>9000</v>
      </c>
      <c r="BW41" s="175">
        <v>9000</v>
      </c>
      <c r="BX41" s="175">
        <v>12000</v>
      </c>
      <c r="BY41" s="179"/>
      <c r="BZ41" s="172">
        <f t="shared" ca="1" si="32"/>
        <v>36.900965811965811</v>
      </c>
      <c r="CA41" s="173">
        <f t="shared" ca="1" si="57"/>
        <v>8.5156074950690339</v>
      </c>
      <c r="CB41" s="173">
        <f t="shared" ca="1" si="58"/>
        <v>8.5156074950690339</v>
      </c>
      <c r="CC41" s="173">
        <f t="shared" ca="1" si="59"/>
        <v>8.5156074950690339</v>
      </c>
      <c r="CD41" s="173">
        <f t="shared" ca="1" si="60"/>
        <v>11.354143326758711</v>
      </c>
      <c r="CE41" s="180"/>
      <c r="CF41" s="166">
        <f t="shared" ca="1" si="35"/>
        <v>29.380279328125425</v>
      </c>
      <c r="CG41" s="167">
        <f t="shared" ca="1" si="36"/>
        <v>6.7800644603366367</v>
      </c>
      <c r="CH41" s="167">
        <f t="shared" ca="1" si="36"/>
        <v>6.7800644603366367</v>
      </c>
      <c r="CI41" s="167">
        <f t="shared" ca="1" si="36"/>
        <v>6.7800644603366367</v>
      </c>
      <c r="CJ41" s="167">
        <f t="shared" ca="1" si="36"/>
        <v>9.0400859471155162</v>
      </c>
      <c r="CK41" s="178"/>
    </row>
    <row r="42" spans="2:89" ht="14.4" thickBot="1">
      <c r="B42" s="204">
        <v>36</v>
      </c>
      <c r="C42" s="205">
        <v>89.6</v>
      </c>
      <c r="D42" s="205">
        <v>73.400000000000006</v>
      </c>
      <c r="E42" s="206" t="s">
        <v>15</v>
      </c>
      <c r="F42" s="207">
        <v>44.4</v>
      </c>
      <c r="G42" s="208">
        <v>45.385000000000005</v>
      </c>
      <c r="H42" s="208">
        <v>45.045000000000002</v>
      </c>
      <c r="I42" s="208">
        <v>45.914999999999999</v>
      </c>
      <c r="J42" s="208">
        <v>46.32</v>
      </c>
      <c r="K42" s="208">
        <v>46.825000000000003</v>
      </c>
      <c r="L42" s="209">
        <v>47.774999999999999</v>
      </c>
      <c r="M42" s="209">
        <v>45.48</v>
      </c>
      <c r="N42" s="209">
        <v>43.144999999999996</v>
      </c>
      <c r="O42" s="209">
        <v>35.82</v>
      </c>
      <c r="P42" s="209">
        <v>33.204999999999998</v>
      </c>
      <c r="Q42" s="210">
        <v>28.265000000000001</v>
      </c>
      <c r="R42" s="211">
        <f t="shared" ca="1" si="37"/>
        <v>43.14500000000001</v>
      </c>
      <c r="S42" s="152"/>
      <c r="T42" s="152"/>
      <c r="U42" s="146"/>
      <c r="V42" s="152"/>
      <c r="W42" s="152"/>
      <c r="X42" s="152"/>
      <c r="AC42" s="164" t="s">
        <v>160</v>
      </c>
      <c r="AD42" s="164">
        <v>30</v>
      </c>
      <c r="AE42" s="165">
        <v>9</v>
      </c>
      <c r="AF42" s="165">
        <v>9</v>
      </c>
      <c r="AG42" s="165">
        <v>9</v>
      </c>
      <c r="AH42" s="165">
        <v>18</v>
      </c>
      <c r="AI42" s="164"/>
      <c r="AJ42" s="510"/>
      <c r="AK42" s="166">
        <f t="shared" ca="1" si="20"/>
        <v>37.90944444444446</v>
      </c>
      <c r="AL42" s="167">
        <f t="shared" ca="1" si="48"/>
        <v>7.5818888888888925</v>
      </c>
      <c r="AM42" s="167">
        <f t="shared" ca="1" si="49"/>
        <v>7.5818888888888925</v>
      </c>
      <c r="AN42" s="167">
        <f t="shared" ca="1" si="50"/>
        <v>7.5818888888888925</v>
      </c>
      <c r="AO42" s="167">
        <f t="shared" ca="1" si="51"/>
        <v>15.163777777777785</v>
      </c>
      <c r="AP42" s="178"/>
      <c r="AQ42" s="169">
        <f t="shared" ca="1" si="23"/>
        <v>51.210444444444448</v>
      </c>
      <c r="AR42" s="170">
        <f ca="1">INDEX('Cap based on indoor unit SZ'!$J$6:$J$21,MATCH(AE42,'Cap based on indoor unit SZ'!$I$6:$I$21))</f>
        <v>10.463111111111111</v>
      </c>
      <c r="AS42" s="170">
        <f ca="1">INDEX('Cap based on indoor unit SZ'!$J$6:$J$21,MATCH(AF42,'Cap based on indoor unit SZ'!$I$6:$I$21))</f>
        <v>10.463111111111111</v>
      </c>
      <c r="AT42" s="170">
        <f ca="1">INDEX('Cap based on indoor unit SZ'!$J$6:$J$21,MATCH(AG42,'Cap based on indoor unit SZ'!$I$6:$I$21))</f>
        <v>10.463111111111111</v>
      </c>
      <c r="AU42" s="170">
        <f ca="1">INDEX('Cap based on indoor unit SZ'!$J$6:$J$21,MATCH(AH42,'Cap based on indoor unit SZ'!$I$6:$I$21))</f>
        <v>19.821111111111112</v>
      </c>
      <c r="AV42" s="179"/>
      <c r="AW42" s="169">
        <f t="shared" si="24"/>
        <v>37</v>
      </c>
      <c r="AX42" s="170">
        <v>8</v>
      </c>
      <c r="AY42" s="170">
        <v>8</v>
      </c>
      <c r="AZ42" s="170">
        <v>8</v>
      </c>
      <c r="BA42" s="170">
        <v>13</v>
      </c>
      <c r="BB42" s="179"/>
      <c r="BC42" s="172">
        <f t="shared" ca="1" si="25"/>
        <v>37.90944444444446</v>
      </c>
      <c r="BD42" s="173">
        <f t="shared" ca="1" si="52"/>
        <v>7.5818888888888925</v>
      </c>
      <c r="BE42" s="173">
        <f t="shared" ca="1" si="52"/>
        <v>7.5818888888888925</v>
      </c>
      <c r="BF42" s="173">
        <f t="shared" ca="1" si="52"/>
        <v>7.5818888888888925</v>
      </c>
      <c r="BG42" s="173">
        <f t="shared" ca="1" si="52"/>
        <v>15.163777777777785</v>
      </c>
      <c r="BH42" s="180"/>
      <c r="BI42" s="166">
        <f t="shared" ca="1" si="28"/>
        <v>36.900965811965811</v>
      </c>
      <c r="BJ42" s="167">
        <f t="shared" ca="1" si="53"/>
        <v>7.3801931623931623</v>
      </c>
      <c r="BK42" s="167">
        <f t="shared" ca="1" si="54"/>
        <v>7.3801931623931623</v>
      </c>
      <c r="BL42" s="167">
        <f t="shared" ca="1" si="55"/>
        <v>7.3801931623931623</v>
      </c>
      <c r="BM42" s="167">
        <f t="shared" ca="1" si="56"/>
        <v>14.760386324786325</v>
      </c>
      <c r="BN42" s="178"/>
      <c r="BO42" s="169">
        <f t="shared" ca="1" si="31"/>
        <v>60.466882051282042</v>
      </c>
      <c r="BP42" s="170">
        <f ca="1">INDEX('Cap based on indoor unit SZ'!$V$43:$V$58,MATCH(AE42,'Cap based on indoor unit SZ'!$U$43:$U$58))</f>
        <v>11.956020512820512</v>
      </c>
      <c r="BQ42" s="170">
        <f ca="1">INDEX('Cap based on indoor unit SZ'!$V$43:$V$58,MATCH(AF42,'Cap based on indoor unit SZ'!$U$43:$U$58))</f>
        <v>11.956020512820512</v>
      </c>
      <c r="BR42" s="170">
        <f ca="1">INDEX('Cap based on indoor unit SZ'!$V$43:$V$58,MATCH(AG42,'Cap based on indoor unit SZ'!$U$43:$U$58))</f>
        <v>11.956020512820512</v>
      </c>
      <c r="BS42" s="170">
        <f ca="1">INDEX('Cap based on indoor unit SZ'!$V$43:$V$58,MATCH(AH42,'Cap based on indoor unit SZ'!$U$43:$U$58))</f>
        <v>24.598820512820513</v>
      </c>
      <c r="BT42" s="179"/>
      <c r="BU42" s="175">
        <v>8500</v>
      </c>
      <c r="BV42" s="175">
        <v>8500</v>
      </c>
      <c r="BW42" s="175">
        <v>8500</v>
      </c>
      <c r="BX42" s="175">
        <v>14000</v>
      </c>
      <c r="BY42" s="179"/>
      <c r="BZ42" s="172">
        <f t="shared" ca="1" si="32"/>
        <v>36.900965811965811</v>
      </c>
      <c r="CA42" s="173">
        <f t="shared" ca="1" si="57"/>
        <v>7.3801931623931623</v>
      </c>
      <c r="CB42" s="173">
        <f t="shared" ca="1" si="58"/>
        <v>7.3801931623931623</v>
      </c>
      <c r="CC42" s="173">
        <f t="shared" ca="1" si="59"/>
        <v>7.3801931623931623</v>
      </c>
      <c r="CD42" s="173">
        <f t="shared" ca="1" si="60"/>
        <v>14.760386324786325</v>
      </c>
      <c r="CE42" s="180"/>
      <c r="CF42" s="166">
        <f t="shared" ca="1" si="35"/>
        <v>29.380279328125425</v>
      </c>
      <c r="CG42" s="167">
        <f t="shared" ca="1" si="36"/>
        <v>5.8760558656250845</v>
      </c>
      <c r="CH42" s="167">
        <f t="shared" ca="1" si="36"/>
        <v>5.8760558656250845</v>
      </c>
      <c r="CI42" s="167">
        <f t="shared" ca="1" si="36"/>
        <v>5.8760558656250845</v>
      </c>
      <c r="CJ42" s="167">
        <f t="shared" ca="1" si="36"/>
        <v>11.752111731250169</v>
      </c>
      <c r="CK42" s="178"/>
    </row>
    <row r="43" spans="2:89">
      <c r="B43" s="188">
        <v>48</v>
      </c>
      <c r="C43" s="189">
        <v>69.8</v>
      </c>
      <c r="D43" s="189">
        <v>59</v>
      </c>
      <c r="E43" s="190" t="s">
        <v>15</v>
      </c>
      <c r="F43" s="191">
        <v>40.355000000000004</v>
      </c>
      <c r="G43" s="192">
        <v>41.25</v>
      </c>
      <c r="H43" s="192">
        <v>41.459999999999994</v>
      </c>
      <c r="I43" s="192">
        <v>41.37</v>
      </c>
      <c r="J43" s="192">
        <v>40.69</v>
      </c>
      <c r="K43" s="192">
        <v>41.47</v>
      </c>
      <c r="L43" s="193">
        <v>40.86</v>
      </c>
      <c r="M43" s="193">
        <v>38.864999999999995</v>
      </c>
      <c r="N43" s="193">
        <v>35.75</v>
      </c>
      <c r="O43" s="193">
        <v>32.195</v>
      </c>
      <c r="P43" s="193">
        <v>28.92</v>
      </c>
      <c r="Q43" s="194">
        <v>26.009999999999998</v>
      </c>
      <c r="R43" s="203">
        <f t="shared" ca="1" si="37"/>
        <v>35.749999999999993</v>
      </c>
      <c r="S43" s="152"/>
      <c r="T43" s="152"/>
      <c r="U43" s="146" t="s">
        <v>96</v>
      </c>
      <c r="V43" s="147">
        <f ca="1">FORECAST(INDOOR_DB,OFFSET(R43:R46,MATCH(INDOOR_DB,C43:C46,1)-1,0,2),OFFSET(C43:C46,MATCH(INDOOR_DB,C43:C46,1)-1,0,2))</f>
        <v>48.489999999999995</v>
      </c>
      <c r="W43" s="145">
        <f>B43</f>
        <v>48</v>
      </c>
      <c r="X43" s="147">
        <f ca="1">IF(OR(INDOOR_DB&lt;C43,INDOOR_DB&gt;C46),V45,V43)</f>
        <v>48.489999999999995</v>
      </c>
      <c r="AC43" s="164" t="s">
        <v>158</v>
      </c>
      <c r="AD43" s="164">
        <v>30</v>
      </c>
      <c r="AE43" s="165">
        <v>9</v>
      </c>
      <c r="AF43" s="165">
        <v>9</v>
      </c>
      <c r="AG43" s="165">
        <v>12</v>
      </c>
      <c r="AH43" s="165">
        <v>12</v>
      </c>
      <c r="AI43" s="164"/>
      <c r="AJ43" s="510"/>
      <c r="AK43" s="166">
        <f t="shared" ca="1" si="20"/>
        <v>37.90944444444446</v>
      </c>
      <c r="AL43" s="167">
        <f t="shared" ca="1" si="48"/>
        <v>8.1234523809523846</v>
      </c>
      <c r="AM43" s="167">
        <f t="shared" ca="1" si="49"/>
        <v>8.1234523809523846</v>
      </c>
      <c r="AN43" s="167">
        <f t="shared" ca="1" si="50"/>
        <v>10.831269841269846</v>
      </c>
      <c r="AO43" s="167">
        <f t="shared" ca="1" si="51"/>
        <v>10.831269841269846</v>
      </c>
      <c r="AP43" s="178"/>
      <c r="AQ43" s="169">
        <f t="shared" ca="1" si="23"/>
        <v>47.084000000000003</v>
      </c>
      <c r="AR43" s="170">
        <f ca="1">INDEX('Cap based on indoor unit SZ'!$J$6:$J$21,MATCH(AE43,'Cap based on indoor unit SZ'!$I$6:$I$21))</f>
        <v>10.463111111111111</v>
      </c>
      <c r="AS43" s="170">
        <f ca="1">INDEX('Cap based on indoor unit SZ'!$J$6:$J$21,MATCH(AF43,'Cap based on indoor unit SZ'!$I$6:$I$21))</f>
        <v>10.463111111111111</v>
      </c>
      <c r="AT43" s="170">
        <f ca="1">INDEX('Cap based on indoor unit SZ'!$J$6:$J$21,MATCH(AG43,'Cap based on indoor unit SZ'!$I$6:$I$21))</f>
        <v>13.078888888888891</v>
      </c>
      <c r="AU43" s="170">
        <f ca="1">INDEX('Cap based on indoor unit SZ'!$J$6:$J$21,MATCH(AH43,'Cap based on indoor unit SZ'!$I$6:$I$21))</f>
        <v>13.078888888888891</v>
      </c>
      <c r="AV43" s="179"/>
      <c r="AW43" s="169">
        <f t="shared" si="24"/>
        <v>37</v>
      </c>
      <c r="AX43" s="170">
        <v>8</v>
      </c>
      <c r="AY43" s="170">
        <v>8</v>
      </c>
      <c r="AZ43" s="170">
        <v>10.5</v>
      </c>
      <c r="BA43" s="170">
        <v>10.5</v>
      </c>
      <c r="BB43" s="179"/>
      <c r="BC43" s="172">
        <f t="shared" ca="1" si="25"/>
        <v>37.90944444444446</v>
      </c>
      <c r="BD43" s="173">
        <f t="shared" ca="1" si="52"/>
        <v>8.1234523809523846</v>
      </c>
      <c r="BE43" s="173">
        <f t="shared" ca="1" si="52"/>
        <v>8.1234523809523846</v>
      </c>
      <c r="BF43" s="173">
        <f t="shared" ca="1" si="52"/>
        <v>10.831269841269846</v>
      </c>
      <c r="BG43" s="173">
        <f t="shared" ca="1" si="52"/>
        <v>10.831269841269846</v>
      </c>
      <c r="BH43" s="180"/>
      <c r="BI43" s="166">
        <f t="shared" ca="1" si="28"/>
        <v>36.900965811965818</v>
      </c>
      <c r="BJ43" s="167">
        <f t="shared" ca="1" si="53"/>
        <v>7.907349816849818</v>
      </c>
      <c r="BK43" s="167">
        <f t="shared" ca="1" si="54"/>
        <v>7.907349816849818</v>
      </c>
      <c r="BL43" s="167">
        <f t="shared" ca="1" si="55"/>
        <v>10.543133089133089</v>
      </c>
      <c r="BM43" s="167">
        <f t="shared" ca="1" si="56"/>
        <v>10.543133089133089</v>
      </c>
      <c r="BN43" s="178"/>
      <c r="BO43" s="169">
        <f t="shared" ca="1" si="31"/>
        <v>53.802092307692305</v>
      </c>
      <c r="BP43" s="170">
        <f ca="1">INDEX('Cap based on indoor unit SZ'!$V$43:$V$58,MATCH(AE43,'Cap based on indoor unit SZ'!$U$43:$U$58))</f>
        <v>11.956020512820512</v>
      </c>
      <c r="BQ43" s="170">
        <f ca="1">INDEX('Cap based on indoor unit SZ'!$V$43:$V$58,MATCH(AF43,'Cap based on indoor unit SZ'!$U$43:$U$58))</f>
        <v>11.956020512820512</v>
      </c>
      <c r="BR43" s="170">
        <f ca="1">INDEX('Cap based on indoor unit SZ'!$V$43:$V$58,MATCH(AG43,'Cap based on indoor unit SZ'!$U$43:$U$58))</f>
        <v>14.945025641025641</v>
      </c>
      <c r="BS43" s="170">
        <f ca="1">INDEX('Cap based on indoor unit SZ'!$V$43:$V$58,MATCH(AH43,'Cap based on indoor unit SZ'!$U$43:$U$58))</f>
        <v>14.945025641025641</v>
      </c>
      <c r="BT43" s="179"/>
      <c r="BU43" s="175">
        <v>8500</v>
      </c>
      <c r="BV43" s="175">
        <v>8500</v>
      </c>
      <c r="BW43" s="175">
        <v>11000</v>
      </c>
      <c r="BX43" s="175">
        <v>11000</v>
      </c>
      <c r="BY43" s="179"/>
      <c r="BZ43" s="172">
        <f t="shared" ca="1" si="32"/>
        <v>36.900965811965818</v>
      </c>
      <c r="CA43" s="173">
        <f t="shared" ca="1" si="57"/>
        <v>7.907349816849818</v>
      </c>
      <c r="CB43" s="173">
        <f t="shared" ca="1" si="58"/>
        <v>7.907349816849818</v>
      </c>
      <c r="CC43" s="173">
        <f t="shared" ca="1" si="59"/>
        <v>10.543133089133089</v>
      </c>
      <c r="CD43" s="173">
        <f t="shared" ca="1" si="60"/>
        <v>10.543133089133089</v>
      </c>
      <c r="CE43" s="180"/>
      <c r="CF43" s="166">
        <f t="shared" ca="1" si="35"/>
        <v>29.380279328125418</v>
      </c>
      <c r="CG43" s="167">
        <f t="shared" ca="1" si="36"/>
        <v>6.2957741417411617</v>
      </c>
      <c r="CH43" s="167">
        <f t="shared" ca="1" si="36"/>
        <v>6.2957741417411617</v>
      </c>
      <c r="CI43" s="167">
        <f t="shared" ca="1" si="36"/>
        <v>8.3943655223215483</v>
      </c>
      <c r="CJ43" s="167">
        <f t="shared" ca="1" si="36"/>
        <v>8.3943655223215483</v>
      </c>
      <c r="CK43" s="178"/>
    </row>
    <row r="44" spans="2:89">
      <c r="B44" s="196">
        <v>48</v>
      </c>
      <c r="C44" s="197">
        <v>75.2</v>
      </c>
      <c r="D44" s="197">
        <v>62.6</v>
      </c>
      <c r="E44" s="198" t="s">
        <v>15</v>
      </c>
      <c r="F44" s="199">
        <v>43.585000000000001</v>
      </c>
      <c r="G44" s="200">
        <v>44.55</v>
      </c>
      <c r="H44" s="200">
        <v>44.774999999999999</v>
      </c>
      <c r="I44" s="200">
        <v>44.68</v>
      </c>
      <c r="J44" s="200">
        <v>43.945</v>
      </c>
      <c r="K44" s="200">
        <v>44.79</v>
      </c>
      <c r="L44" s="201">
        <v>44.129999999999995</v>
      </c>
      <c r="M44" s="201">
        <v>41.974999999999994</v>
      </c>
      <c r="N44" s="201">
        <v>38.61</v>
      </c>
      <c r="O44" s="201">
        <v>34.769999999999996</v>
      </c>
      <c r="P44" s="201">
        <v>31.234999999999999</v>
      </c>
      <c r="Q44" s="202">
        <v>28.09</v>
      </c>
      <c r="R44" s="203">
        <f t="shared" ca="1" si="37"/>
        <v>38.610000000000007</v>
      </c>
      <c r="S44" s="152"/>
      <c r="T44" s="152"/>
      <c r="U44" s="146"/>
      <c r="V44" s="148"/>
      <c r="W44" s="145"/>
      <c r="X44" s="152"/>
      <c r="AC44" s="164" t="s">
        <v>157</v>
      </c>
      <c r="AD44" s="164">
        <v>30</v>
      </c>
      <c r="AE44" s="165">
        <v>9</v>
      </c>
      <c r="AF44" s="165">
        <v>9</v>
      </c>
      <c r="AG44" s="165">
        <v>12</v>
      </c>
      <c r="AH44" s="165">
        <v>18</v>
      </c>
      <c r="AI44" s="164"/>
      <c r="AJ44" s="510"/>
      <c r="AK44" s="166">
        <f t="shared" ca="1" si="20"/>
        <v>37.90944444444446</v>
      </c>
      <c r="AL44" s="167">
        <f t="shared" ca="1" si="48"/>
        <v>7.1080208333333363</v>
      </c>
      <c r="AM44" s="167">
        <f t="shared" ca="1" si="49"/>
        <v>7.1080208333333363</v>
      </c>
      <c r="AN44" s="167">
        <f t="shared" ca="1" si="50"/>
        <v>9.4773611111111151</v>
      </c>
      <c r="AO44" s="167">
        <f t="shared" ca="1" si="51"/>
        <v>14.216041666666673</v>
      </c>
      <c r="AP44" s="178"/>
      <c r="AQ44" s="169">
        <f t="shared" ca="1" si="23"/>
        <v>53.826222222222228</v>
      </c>
      <c r="AR44" s="170">
        <f ca="1">INDEX('Cap based on indoor unit SZ'!$J$6:$J$21,MATCH(AE44,'Cap based on indoor unit SZ'!$I$6:$I$21))</f>
        <v>10.463111111111111</v>
      </c>
      <c r="AS44" s="170">
        <f ca="1">INDEX('Cap based on indoor unit SZ'!$J$6:$J$21,MATCH(AF44,'Cap based on indoor unit SZ'!$I$6:$I$21))</f>
        <v>10.463111111111111</v>
      </c>
      <c r="AT44" s="170">
        <f ca="1">INDEX('Cap based on indoor unit SZ'!$J$6:$J$21,MATCH(AG44,'Cap based on indoor unit SZ'!$I$6:$I$21))</f>
        <v>13.078888888888891</v>
      </c>
      <c r="AU44" s="170">
        <f ca="1">INDEX('Cap based on indoor unit SZ'!$J$6:$J$21,MATCH(AH44,'Cap based on indoor unit SZ'!$I$6:$I$21))</f>
        <v>19.821111111111112</v>
      </c>
      <c r="AV44" s="179"/>
      <c r="AW44" s="169">
        <f t="shared" si="24"/>
        <v>38</v>
      </c>
      <c r="AX44" s="170">
        <v>7.5</v>
      </c>
      <c r="AY44" s="170">
        <v>7.5</v>
      </c>
      <c r="AZ44" s="170">
        <v>9</v>
      </c>
      <c r="BA44" s="170">
        <v>14</v>
      </c>
      <c r="BB44" s="179"/>
      <c r="BC44" s="172">
        <f t="shared" ca="1" si="25"/>
        <v>37.90944444444446</v>
      </c>
      <c r="BD44" s="173">
        <f t="shared" ca="1" si="52"/>
        <v>7.1080208333333363</v>
      </c>
      <c r="BE44" s="173">
        <f t="shared" ca="1" si="52"/>
        <v>7.1080208333333363</v>
      </c>
      <c r="BF44" s="173">
        <f t="shared" ca="1" si="52"/>
        <v>9.4773611111111151</v>
      </c>
      <c r="BG44" s="173">
        <f t="shared" ca="1" si="52"/>
        <v>14.216041666666673</v>
      </c>
      <c r="BH44" s="180"/>
      <c r="BI44" s="166">
        <f t="shared" ca="1" si="28"/>
        <v>36.900965811965811</v>
      </c>
      <c r="BJ44" s="167">
        <f t="shared" ca="1" si="53"/>
        <v>6.9189310897435901</v>
      </c>
      <c r="BK44" s="167">
        <f t="shared" ca="1" si="54"/>
        <v>6.9189310897435901</v>
      </c>
      <c r="BL44" s="167">
        <f t="shared" ca="1" si="55"/>
        <v>9.2252414529914528</v>
      </c>
      <c r="BM44" s="167">
        <f t="shared" ca="1" si="56"/>
        <v>13.83786217948718</v>
      </c>
      <c r="BN44" s="178"/>
      <c r="BO44" s="169">
        <f t="shared" ca="1" si="31"/>
        <v>63.455887179487178</v>
      </c>
      <c r="BP44" s="170">
        <f ca="1">INDEX('Cap based on indoor unit SZ'!$V$43:$V$58,MATCH(AE44,'Cap based on indoor unit SZ'!$U$43:$U$58))</f>
        <v>11.956020512820512</v>
      </c>
      <c r="BQ44" s="170">
        <f ca="1">INDEX('Cap based on indoor unit SZ'!$V$43:$V$58,MATCH(AF44,'Cap based on indoor unit SZ'!$U$43:$U$58))</f>
        <v>11.956020512820512</v>
      </c>
      <c r="BR44" s="170">
        <f ca="1">INDEX('Cap based on indoor unit SZ'!$V$43:$V$58,MATCH(AG44,'Cap based on indoor unit SZ'!$U$43:$U$58))</f>
        <v>14.945025641025641</v>
      </c>
      <c r="BS44" s="170">
        <f ca="1">INDEX('Cap based on indoor unit SZ'!$V$43:$V$58,MATCH(AH44,'Cap based on indoor unit SZ'!$U$43:$U$58))</f>
        <v>24.598820512820513</v>
      </c>
      <c r="BT44" s="179"/>
      <c r="BU44" s="175">
        <v>8000</v>
      </c>
      <c r="BV44" s="175">
        <v>8000</v>
      </c>
      <c r="BW44" s="175">
        <v>9500</v>
      </c>
      <c r="BX44" s="175">
        <v>14500</v>
      </c>
      <c r="BY44" s="179"/>
      <c r="BZ44" s="172">
        <f t="shared" ca="1" si="32"/>
        <v>36.900965811965811</v>
      </c>
      <c r="CA44" s="173">
        <f t="shared" ca="1" si="57"/>
        <v>6.9189310897435901</v>
      </c>
      <c r="CB44" s="173">
        <f t="shared" ca="1" si="58"/>
        <v>6.9189310897435901</v>
      </c>
      <c r="CC44" s="173">
        <f t="shared" ca="1" si="59"/>
        <v>9.2252414529914528</v>
      </c>
      <c r="CD44" s="173">
        <f t="shared" ca="1" si="60"/>
        <v>13.83786217948718</v>
      </c>
      <c r="CE44" s="180"/>
      <c r="CF44" s="166">
        <f t="shared" ca="1" si="35"/>
        <v>29.380279328125418</v>
      </c>
      <c r="CG44" s="167">
        <f t="shared" ca="1" si="36"/>
        <v>5.5088023740235164</v>
      </c>
      <c r="CH44" s="167">
        <f t="shared" ca="1" si="36"/>
        <v>5.5088023740235164</v>
      </c>
      <c r="CI44" s="167">
        <f t="shared" ca="1" si="36"/>
        <v>7.3450698320313554</v>
      </c>
      <c r="CJ44" s="167">
        <f t="shared" ca="1" si="36"/>
        <v>11.017604748047033</v>
      </c>
      <c r="CK44" s="178"/>
    </row>
    <row r="45" spans="2:89">
      <c r="B45" s="196">
        <v>48</v>
      </c>
      <c r="C45" s="197">
        <v>80.599999999999994</v>
      </c>
      <c r="D45" s="197">
        <v>66.2</v>
      </c>
      <c r="E45" s="198" t="s">
        <v>15</v>
      </c>
      <c r="F45" s="199">
        <v>52.784999999999997</v>
      </c>
      <c r="G45" s="200">
        <v>53.95</v>
      </c>
      <c r="H45" s="200">
        <v>53.805</v>
      </c>
      <c r="I45" s="200">
        <v>54.08</v>
      </c>
      <c r="J45" s="200">
        <v>54.28</v>
      </c>
      <c r="K45" s="200">
        <v>54.64</v>
      </c>
      <c r="L45" s="201">
        <v>56.405000000000001</v>
      </c>
      <c r="M45" s="201">
        <v>53.225000000000001</v>
      </c>
      <c r="N45" s="201">
        <v>49.724999999999994</v>
      </c>
      <c r="O45" s="201">
        <v>39.935000000000002</v>
      </c>
      <c r="P45" s="201">
        <v>37.564999999999998</v>
      </c>
      <c r="Q45" s="202">
        <v>33.68</v>
      </c>
      <c r="R45" s="203">
        <f t="shared" ca="1" si="37"/>
        <v>49.725000000000009</v>
      </c>
      <c r="S45" s="152"/>
      <c r="T45" s="152"/>
      <c r="U45" s="146" t="s">
        <v>97</v>
      </c>
      <c r="V45" s="147">
        <f ca="1">TREND(R43:R46,C43:C46,INDOOR_DB)</f>
        <v>45.154709595959602</v>
      </c>
      <c r="W45" s="145"/>
      <c r="X45" s="152"/>
      <c r="AC45" s="164" t="s">
        <v>153</v>
      </c>
      <c r="AD45" s="164">
        <v>30</v>
      </c>
      <c r="AE45" s="165">
        <v>9</v>
      </c>
      <c r="AF45" s="165">
        <v>12</v>
      </c>
      <c r="AG45" s="165">
        <v>12</v>
      </c>
      <c r="AH45" s="165">
        <v>12</v>
      </c>
      <c r="AI45" s="164"/>
      <c r="AJ45" s="511"/>
      <c r="AK45" s="166">
        <f t="shared" ca="1" si="20"/>
        <v>37.90944444444446</v>
      </c>
      <c r="AL45" s="167">
        <f t="shared" ca="1" si="48"/>
        <v>7.5818888888888933</v>
      </c>
      <c r="AM45" s="167">
        <f t="shared" ca="1" si="49"/>
        <v>10.10918518518519</v>
      </c>
      <c r="AN45" s="167">
        <f t="shared" ca="1" si="50"/>
        <v>10.10918518518519</v>
      </c>
      <c r="AO45" s="167">
        <f t="shared" ca="1" si="51"/>
        <v>10.10918518518519</v>
      </c>
      <c r="AP45" s="178"/>
      <c r="AQ45" s="169">
        <f t="shared" ca="1" si="23"/>
        <v>49.699777777777783</v>
      </c>
      <c r="AR45" s="170">
        <f ca="1">INDEX('Cap based on indoor unit SZ'!$J$6:$J$21,MATCH(AE45,'Cap based on indoor unit SZ'!$I$6:$I$21))</f>
        <v>10.463111111111111</v>
      </c>
      <c r="AS45" s="170">
        <f ca="1">INDEX('Cap based on indoor unit SZ'!$J$6:$J$21,MATCH(AF45,'Cap based on indoor unit SZ'!$I$6:$I$21))</f>
        <v>13.078888888888891</v>
      </c>
      <c r="AT45" s="170">
        <f ca="1">INDEX('Cap based on indoor unit SZ'!$J$6:$J$21,MATCH(AG45,'Cap based on indoor unit SZ'!$I$6:$I$21))</f>
        <v>13.078888888888891</v>
      </c>
      <c r="AU45" s="170">
        <f ca="1">INDEX('Cap based on indoor unit SZ'!$J$6:$J$21,MATCH(AH45,'Cap based on indoor unit SZ'!$I$6:$I$21))</f>
        <v>13.078888888888891</v>
      </c>
      <c r="AV45" s="179"/>
      <c r="AW45" s="169">
        <f t="shared" si="24"/>
        <v>37</v>
      </c>
      <c r="AX45" s="170">
        <v>7</v>
      </c>
      <c r="AY45" s="170">
        <v>10</v>
      </c>
      <c r="AZ45" s="170">
        <v>10</v>
      </c>
      <c r="BA45" s="170">
        <v>10</v>
      </c>
      <c r="BB45" s="179"/>
      <c r="BC45" s="172">
        <f t="shared" ca="1" si="25"/>
        <v>37.90944444444446</v>
      </c>
      <c r="BD45" s="173">
        <f t="shared" ca="1" si="52"/>
        <v>7.5818888888888933</v>
      </c>
      <c r="BE45" s="173">
        <f t="shared" ca="1" si="52"/>
        <v>10.10918518518519</v>
      </c>
      <c r="BF45" s="173">
        <f t="shared" ca="1" si="52"/>
        <v>10.10918518518519</v>
      </c>
      <c r="BG45" s="173">
        <f t="shared" ca="1" si="52"/>
        <v>10.10918518518519</v>
      </c>
      <c r="BH45" s="180"/>
      <c r="BI45" s="166">
        <f t="shared" ca="1" si="28"/>
        <v>36.900965811965818</v>
      </c>
      <c r="BJ45" s="167">
        <f t="shared" ca="1" si="53"/>
        <v>7.3801931623931631</v>
      </c>
      <c r="BK45" s="167">
        <f t="shared" ca="1" si="54"/>
        <v>9.8402575498575509</v>
      </c>
      <c r="BL45" s="167">
        <f t="shared" ca="1" si="55"/>
        <v>9.8402575498575509</v>
      </c>
      <c r="BM45" s="167">
        <f t="shared" ca="1" si="56"/>
        <v>9.8402575498575509</v>
      </c>
      <c r="BN45" s="178"/>
      <c r="BO45" s="169">
        <f t="shared" ca="1" si="31"/>
        <v>56.791097435897427</v>
      </c>
      <c r="BP45" s="170">
        <f ca="1">INDEX('Cap based on indoor unit SZ'!$V$43:$V$58,MATCH(AE45,'Cap based on indoor unit SZ'!$U$43:$U$58))</f>
        <v>11.956020512820512</v>
      </c>
      <c r="BQ45" s="170">
        <f ca="1">INDEX('Cap based on indoor unit SZ'!$V$43:$V$58,MATCH(AF45,'Cap based on indoor unit SZ'!$U$43:$U$58))</f>
        <v>14.945025641025641</v>
      </c>
      <c r="BR45" s="170">
        <f ca="1">INDEX('Cap based on indoor unit SZ'!$V$43:$V$58,MATCH(AG45,'Cap based on indoor unit SZ'!$U$43:$U$58))</f>
        <v>14.945025641025641</v>
      </c>
      <c r="BS45" s="170">
        <f ca="1">INDEX('Cap based on indoor unit SZ'!$V$43:$V$58,MATCH(AH45,'Cap based on indoor unit SZ'!$U$43:$U$58))</f>
        <v>14.945025641025641</v>
      </c>
      <c r="BT45" s="179"/>
      <c r="BU45" s="175">
        <v>8000</v>
      </c>
      <c r="BV45" s="175">
        <v>10500</v>
      </c>
      <c r="BW45" s="175">
        <v>10500</v>
      </c>
      <c r="BX45" s="175">
        <v>10500</v>
      </c>
      <c r="BY45" s="179"/>
      <c r="BZ45" s="172">
        <f t="shared" ca="1" si="32"/>
        <v>36.900965811965818</v>
      </c>
      <c r="CA45" s="173">
        <f t="shared" ca="1" si="57"/>
        <v>7.3801931623931631</v>
      </c>
      <c r="CB45" s="173">
        <f t="shared" ca="1" si="58"/>
        <v>9.8402575498575509</v>
      </c>
      <c r="CC45" s="173">
        <f t="shared" ca="1" si="59"/>
        <v>9.8402575498575509</v>
      </c>
      <c r="CD45" s="173">
        <f t="shared" ca="1" si="60"/>
        <v>9.8402575498575509</v>
      </c>
      <c r="CE45" s="180"/>
      <c r="CF45" s="166">
        <f t="shared" ca="1" si="35"/>
        <v>29.380279328125425</v>
      </c>
      <c r="CG45" s="167">
        <f t="shared" ca="1" si="36"/>
        <v>5.8760558656250854</v>
      </c>
      <c r="CH45" s="167">
        <f t="shared" ca="1" si="36"/>
        <v>7.83474115416678</v>
      </c>
      <c r="CI45" s="167">
        <f t="shared" ca="1" si="36"/>
        <v>7.83474115416678</v>
      </c>
      <c r="CJ45" s="167">
        <f t="shared" ca="1" si="36"/>
        <v>7.83474115416678</v>
      </c>
      <c r="CK45" s="178"/>
    </row>
    <row r="46" spans="2:89" ht="14.4" thickBot="1">
      <c r="B46" s="204">
        <v>48</v>
      </c>
      <c r="C46" s="205">
        <v>89.6</v>
      </c>
      <c r="D46" s="205">
        <v>73.400000000000006</v>
      </c>
      <c r="E46" s="206" t="s">
        <v>15</v>
      </c>
      <c r="F46" s="207">
        <v>55.424999999999997</v>
      </c>
      <c r="G46" s="208">
        <v>56.65</v>
      </c>
      <c r="H46" s="208">
        <v>56.494999999999997</v>
      </c>
      <c r="I46" s="208">
        <v>56.784999999999997</v>
      </c>
      <c r="J46" s="208">
        <v>56.995000000000005</v>
      </c>
      <c r="K46" s="208">
        <v>57.375</v>
      </c>
      <c r="L46" s="209">
        <v>59.225000000000001</v>
      </c>
      <c r="M46" s="209">
        <v>55.884999999999998</v>
      </c>
      <c r="N46" s="209">
        <v>52.21</v>
      </c>
      <c r="O46" s="209">
        <v>41.935000000000002</v>
      </c>
      <c r="P46" s="209">
        <v>39.445</v>
      </c>
      <c r="Q46" s="210">
        <v>35.4</v>
      </c>
      <c r="R46" s="211">
        <f t="shared" ca="1" si="37"/>
        <v>52.210000000000022</v>
      </c>
      <c r="S46" s="152"/>
      <c r="T46" s="152"/>
      <c r="U46" s="146"/>
      <c r="V46" s="152"/>
      <c r="W46" s="152"/>
      <c r="X46" s="152"/>
      <c r="AC46" s="164" t="s">
        <v>148</v>
      </c>
      <c r="AD46" s="164">
        <v>30</v>
      </c>
      <c r="AE46" s="165">
        <v>12</v>
      </c>
      <c r="AF46" s="165">
        <v>12</v>
      </c>
      <c r="AG46" s="165">
        <v>12</v>
      </c>
      <c r="AH46" s="165">
        <v>12</v>
      </c>
      <c r="AI46" s="164"/>
      <c r="AJ46" s="511"/>
      <c r="AK46" s="166">
        <f t="shared" ca="1" si="20"/>
        <v>37.90944444444446</v>
      </c>
      <c r="AL46" s="167">
        <f t="shared" ca="1" si="48"/>
        <v>9.4773611111111151</v>
      </c>
      <c r="AM46" s="167">
        <f t="shared" ca="1" si="49"/>
        <v>9.4773611111111151</v>
      </c>
      <c r="AN46" s="167">
        <f t="shared" ca="1" si="50"/>
        <v>9.4773611111111151</v>
      </c>
      <c r="AO46" s="167">
        <f t="shared" ca="1" si="51"/>
        <v>9.4773611111111151</v>
      </c>
      <c r="AP46" s="178"/>
      <c r="AQ46" s="169">
        <f t="shared" ca="1" si="23"/>
        <v>52.315555555555562</v>
      </c>
      <c r="AR46" s="170">
        <f ca="1">INDEX('Cap based on indoor unit SZ'!$J$6:$J$21,MATCH(AE46,'Cap based on indoor unit SZ'!$I$6:$I$21))</f>
        <v>13.078888888888891</v>
      </c>
      <c r="AS46" s="170">
        <f ca="1">INDEX('Cap based on indoor unit SZ'!$J$6:$J$21,MATCH(AF46,'Cap based on indoor unit SZ'!$I$6:$I$21))</f>
        <v>13.078888888888891</v>
      </c>
      <c r="AT46" s="170">
        <f ca="1">INDEX('Cap based on indoor unit SZ'!$J$6:$J$21,MATCH(AG46,'Cap based on indoor unit SZ'!$I$6:$I$21))</f>
        <v>13.078888888888891</v>
      </c>
      <c r="AU46" s="170">
        <f ca="1">INDEX('Cap based on indoor unit SZ'!$J$6:$J$21,MATCH(AH46,'Cap based on indoor unit SZ'!$I$6:$I$21))</f>
        <v>13.078888888888891</v>
      </c>
      <c r="AV46" s="179"/>
      <c r="AW46" s="169">
        <f t="shared" si="24"/>
        <v>38</v>
      </c>
      <c r="AX46" s="170">
        <v>9.5</v>
      </c>
      <c r="AY46" s="170">
        <v>9.5</v>
      </c>
      <c r="AZ46" s="170">
        <v>9.5</v>
      </c>
      <c r="BA46" s="170">
        <v>9.5</v>
      </c>
      <c r="BB46" s="179"/>
      <c r="BC46" s="172">
        <f t="shared" ca="1" si="25"/>
        <v>37.90944444444446</v>
      </c>
      <c r="BD46" s="173">
        <f t="shared" ca="1" si="52"/>
        <v>9.4773611111111151</v>
      </c>
      <c r="BE46" s="173">
        <f t="shared" ca="1" si="52"/>
        <v>9.4773611111111151</v>
      </c>
      <c r="BF46" s="173">
        <f t="shared" ca="1" si="52"/>
        <v>9.4773611111111151</v>
      </c>
      <c r="BG46" s="173">
        <f t="shared" ca="1" si="52"/>
        <v>9.4773611111111151</v>
      </c>
      <c r="BH46" s="180"/>
      <c r="BI46" s="166">
        <f t="shared" ca="1" si="28"/>
        <v>36.900965811965811</v>
      </c>
      <c r="BJ46" s="167">
        <f t="shared" ca="1" si="53"/>
        <v>9.2252414529914528</v>
      </c>
      <c r="BK46" s="167">
        <f t="shared" ca="1" si="54"/>
        <v>9.2252414529914528</v>
      </c>
      <c r="BL46" s="167">
        <f t="shared" ca="1" si="55"/>
        <v>9.2252414529914528</v>
      </c>
      <c r="BM46" s="167">
        <f t="shared" ca="1" si="56"/>
        <v>9.2252414529914528</v>
      </c>
      <c r="BN46" s="178"/>
      <c r="BO46" s="169">
        <f t="shared" ca="1" si="31"/>
        <v>59.780102564102563</v>
      </c>
      <c r="BP46" s="170">
        <f ca="1">INDEX('Cap based on indoor unit SZ'!$V$43:$V$58,MATCH(AE46,'Cap based on indoor unit SZ'!$U$43:$U$58))</f>
        <v>14.945025641025641</v>
      </c>
      <c r="BQ46" s="170">
        <f ca="1">INDEX('Cap based on indoor unit SZ'!$V$43:$V$58,MATCH(AF46,'Cap based on indoor unit SZ'!$U$43:$U$58))</f>
        <v>14.945025641025641</v>
      </c>
      <c r="BR46" s="170">
        <f ca="1">INDEX('Cap based on indoor unit SZ'!$V$43:$V$58,MATCH(AG46,'Cap based on indoor unit SZ'!$U$43:$U$58))</f>
        <v>14.945025641025641</v>
      </c>
      <c r="BS46" s="170">
        <f ca="1">INDEX('Cap based on indoor unit SZ'!$V$43:$V$58,MATCH(AH46,'Cap based on indoor unit SZ'!$U$43:$U$58))</f>
        <v>14.945025641025641</v>
      </c>
      <c r="BT46" s="179"/>
      <c r="BU46" s="175">
        <v>10000</v>
      </c>
      <c r="BV46" s="175">
        <v>10000</v>
      </c>
      <c r="BW46" s="175">
        <v>10000</v>
      </c>
      <c r="BX46" s="175">
        <v>10000</v>
      </c>
      <c r="BY46" s="179"/>
      <c r="BZ46" s="172">
        <f t="shared" ca="1" si="32"/>
        <v>36.900965811965811</v>
      </c>
      <c r="CA46" s="173">
        <f t="shared" ca="1" si="57"/>
        <v>9.2252414529914528</v>
      </c>
      <c r="CB46" s="173">
        <f t="shared" ca="1" si="58"/>
        <v>9.2252414529914528</v>
      </c>
      <c r="CC46" s="173">
        <f t="shared" ca="1" si="59"/>
        <v>9.2252414529914528</v>
      </c>
      <c r="CD46" s="173">
        <f t="shared" ca="1" si="60"/>
        <v>9.2252414529914528</v>
      </c>
      <c r="CE46" s="180"/>
      <c r="CF46" s="166">
        <f t="shared" ca="1" si="35"/>
        <v>29.380279328125422</v>
      </c>
      <c r="CG46" s="167">
        <f t="shared" ca="1" si="36"/>
        <v>7.3450698320313554</v>
      </c>
      <c r="CH46" s="167">
        <f t="shared" ca="1" si="36"/>
        <v>7.3450698320313554</v>
      </c>
      <c r="CI46" s="167">
        <f t="shared" ca="1" si="36"/>
        <v>7.3450698320313554</v>
      </c>
      <c r="CJ46" s="167">
        <f t="shared" ca="1" si="36"/>
        <v>7.3450698320313554</v>
      </c>
      <c r="CK46" s="178"/>
    </row>
    <row r="47" spans="2:89">
      <c r="B47" s="284">
        <v>18</v>
      </c>
      <c r="C47" s="284">
        <v>69.8</v>
      </c>
      <c r="D47" s="284">
        <v>59</v>
      </c>
      <c r="E47" s="8" t="s">
        <v>16</v>
      </c>
      <c r="F47" s="9">
        <v>13.96</v>
      </c>
      <c r="G47" s="9">
        <v>14.275</v>
      </c>
      <c r="H47" s="9">
        <v>14.120000000000001</v>
      </c>
      <c r="I47" s="9">
        <v>14.08</v>
      </c>
      <c r="J47" s="9">
        <v>13.97</v>
      </c>
      <c r="K47" s="9">
        <v>14.760000000000002</v>
      </c>
      <c r="L47" s="9">
        <v>16.085000000000001</v>
      </c>
      <c r="M47" s="9">
        <v>14.994999999999999</v>
      </c>
      <c r="N47" s="9">
        <v>14.164999999999999</v>
      </c>
      <c r="O47" s="9">
        <v>11.455</v>
      </c>
      <c r="P47" s="9">
        <v>10.91</v>
      </c>
      <c r="Q47" s="9">
        <v>9.81</v>
      </c>
      <c r="R47" s="6"/>
      <c r="AC47" s="160" t="s">
        <v>65</v>
      </c>
      <c r="AD47" s="160">
        <v>36</v>
      </c>
      <c r="AE47" s="160"/>
      <c r="AF47" s="160"/>
      <c r="AG47" s="160"/>
      <c r="AH47" s="160"/>
      <c r="AI47" s="160"/>
      <c r="AJ47" s="160"/>
      <c r="AK47" s="166"/>
      <c r="AL47" s="272" t="s">
        <v>60</v>
      </c>
      <c r="AM47" s="272" t="s">
        <v>61</v>
      </c>
      <c r="AN47" s="272" t="s">
        <v>62</v>
      </c>
      <c r="AO47" s="272" t="s">
        <v>63</v>
      </c>
      <c r="AP47" s="272" t="s">
        <v>64</v>
      </c>
      <c r="AQ47" s="169"/>
      <c r="AR47" s="160" t="s">
        <v>60</v>
      </c>
      <c r="AS47" s="160" t="s">
        <v>61</v>
      </c>
      <c r="AT47" s="160" t="s">
        <v>62</v>
      </c>
      <c r="AU47" s="160" t="s">
        <v>63</v>
      </c>
      <c r="AV47" s="160" t="s">
        <v>64</v>
      </c>
      <c r="AW47" s="169"/>
      <c r="AX47" s="160" t="s">
        <v>60</v>
      </c>
      <c r="AY47" s="160" t="s">
        <v>61</v>
      </c>
      <c r="AZ47" s="160" t="s">
        <v>62</v>
      </c>
      <c r="BA47" s="160" t="s">
        <v>63</v>
      </c>
      <c r="BB47" s="160" t="s">
        <v>64</v>
      </c>
      <c r="BC47" s="172"/>
      <c r="BD47" s="274" t="s">
        <v>60</v>
      </c>
      <c r="BE47" s="274" t="s">
        <v>61</v>
      </c>
      <c r="BF47" s="274" t="s">
        <v>62</v>
      </c>
      <c r="BG47" s="274" t="s">
        <v>63</v>
      </c>
      <c r="BH47" s="274" t="s">
        <v>64</v>
      </c>
      <c r="BI47" s="166"/>
      <c r="BJ47" s="272" t="s">
        <v>60</v>
      </c>
      <c r="BK47" s="272" t="s">
        <v>61</v>
      </c>
      <c r="BL47" s="272" t="s">
        <v>62</v>
      </c>
      <c r="BM47" s="272" t="s">
        <v>63</v>
      </c>
      <c r="BN47" s="272" t="s">
        <v>64</v>
      </c>
      <c r="BO47" s="169"/>
      <c r="BP47" s="160" t="s">
        <v>60</v>
      </c>
      <c r="BQ47" s="160" t="s">
        <v>61</v>
      </c>
      <c r="BR47" s="160" t="s">
        <v>62</v>
      </c>
      <c r="BS47" s="160" t="s">
        <v>63</v>
      </c>
      <c r="BT47" s="160" t="s">
        <v>64</v>
      </c>
      <c r="BU47" s="160" t="s">
        <v>60</v>
      </c>
      <c r="BV47" s="160" t="s">
        <v>61</v>
      </c>
      <c r="BW47" s="160" t="s">
        <v>62</v>
      </c>
      <c r="BX47" s="160" t="s">
        <v>63</v>
      </c>
      <c r="BY47" s="160" t="s">
        <v>64</v>
      </c>
      <c r="BZ47" s="172"/>
      <c r="CA47" s="274" t="s">
        <v>60</v>
      </c>
      <c r="CB47" s="274" t="s">
        <v>61</v>
      </c>
      <c r="CC47" s="274" t="s">
        <v>62</v>
      </c>
      <c r="CD47" s="274" t="s">
        <v>63</v>
      </c>
      <c r="CE47" s="274" t="s">
        <v>64</v>
      </c>
      <c r="CF47" s="166"/>
      <c r="CG47" s="272" t="s">
        <v>60</v>
      </c>
      <c r="CH47" s="272" t="s">
        <v>61</v>
      </c>
      <c r="CI47" s="272" t="s">
        <v>62</v>
      </c>
      <c r="CJ47" s="272" t="s">
        <v>63</v>
      </c>
      <c r="CK47" s="272" t="s">
        <v>64</v>
      </c>
    </row>
    <row r="48" spans="2:89">
      <c r="B48" s="284">
        <v>18</v>
      </c>
      <c r="C48" s="284">
        <v>75.2</v>
      </c>
      <c r="D48" s="284">
        <v>62.6</v>
      </c>
      <c r="E48" s="8" t="s">
        <v>16</v>
      </c>
      <c r="F48" s="9">
        <v>14.59</v>
      </c>
      <c r="G48" s="9">
        <v>14.855</v>
      </c>
      <c r="H48" s="9">
        <v>14.809999999999999</v>
      </c>
      <c r="I48" s="9">
        <v>15.195</v>
      </c>
      <c r="J48" s="9">
        <v>15.285</v>
      </c>
      <c r="K48" s="9">
        <v>16.335000000000001</v>
      </c>
      <c r="L48" s="9">
        <v>17.71</v>
      </c>
      <c r="M48" s="9">
        <v>16.385000000000002</v>
      </c>
      <c r="N48" s="9">
        <v>15.254999999999999</v>
      </c>
      <c r="O48" s="9">
        <v>11.184999999999999</v>
      </c>
      <c r="P48" s="9">
        <v>11.4</v>
      </c>
      <c r="Q48" s="9">
        <v>9.93</v>
      </c>
      <c r="R48" s="6"/>
      <c r="AC48" s="164" t="s">
        <v>188</v>
      </c>
      <c r="AD48" s="164">
        <v>36</v>
      </c>
      <c r="AE48" s="165">
        <v>9</v>
      </c>
      <c r="AF48" s="165">
        <v>18</v>
      </c>
      <c r="AG48" s="165"/>
      <c r="AH48" s="165"/>
      <c r="AI48" s="164"/>
      <c r="AJ48" s="500">
        <v>2</v>
      </c>
      <c r="AK48" s="166">
        <f t="shared" ref="AK48:AK91" ca="1" si="61">SUM(AL48:AP48)</f>
        <v>30.284222222222223</v>
      </c>
      <c r="AL48" s="167">
        <f t="shared" ref="AL48:AL55" ca="1" si="62">IF((INDEX($AA$4:$AA$7,MATCH(INDOOR_1,$Z$4:$Z$7))*(INDEX($X$27:$X$46,MATCH($AD48,$W$27:$W$46,1))/(INDEX($AA$4:$AA$7,MATCH(INDOOR_1,$Z$4:$Z$7))+INDEX($AA$4:$AA$7,MATCH(INDOOR_2,$Z$4:$Z$7)))))
&gt;AR48,AR48,
(INDEX($AA$4:$AA$7,MATCH(INDOOR_1,$Z$4:$Z$7))*(INDEX($X$27:$X$46,MATCH($AD48,$W$27:$W$46,1))/(INDEX($AA$4:$AA$7,MATCH(INDOOR_1,$Z$4:$Z$7))+INDEX($AA$4:$AA$7,MATCH(INDOOR_2,$Z$4:$Z$7))))))</f>
        <v>10.463111111111111</v>
      </c>
      <c r="AM48" s="167">
        <f t="shared" ref="AM48:AM55" ca="1" si="63">IF((INDEX($AA$4:$AA$7,MATCH(INDOOR_2,$Z$4:$Z$7))*(INDEX($X$27:$X$46,MATCH($AD48,$W$27:$W$46,1))/(INDEX($AA$4:$AA$7,MATCH(INDOOR_1,$Z$4:$Z$7))+INDEX($AA$4:$AA$7,MATCH(INDOOR_2,$Z$4:$Z$7)))))
&gt;AS48,AS48,
(INDEX($AA$4:$AA$7,MATCH(INDOOR_2,$Z$4:$Z$7))*(INDEX($X$27:$X$46,MATCH($AD48,$W$27:$W$46,1))/(INDEX($AA$4:$AA$7,MATCH(INDOOR_1,$Z$4:$Z$7))+INDEX($AA$4:$AA$7,MATCH(INDOOR_2,$Z$4:$Z$7))))))</f>
        <v>19.821111111111112</v>
      </c>
      <c r="AN48" s="178"/>
      <c r="AO48" s="178"/>
      <c r="AP48" s="178"/>
      <c r="AQ48" s="169">
        <f t="shared" ref="AQ48:AQ91" ca="1" si="64">SUM(AR48:AV48)</f>
        <v>30.284222222222223</v>
      </c>
      <c r="AR48" s="170">
        <f ca="1">INDEX('Cap based on indoor unit SZ'!$J$6:$J$21,MATCH(AE48,'Cap based on indoor unit SZ'!$I$6:$I$21))</f>
        <v>10.463111111111111</v>
      </c>
      <c r="AS48" s="170">
        <f ca="1">INDEX('Cap based on indoor unit SZ'!$J$6:$J$21,MATCH(AF48,'Cap based on indoor unit SZ'!$I$6:$I$21))</f>
        <v>19.821111111111112</v>
      </c>
      <c r="AT48" s="179"/>
      <c r="AU48" s="179"/>
      <c r="AV48" s="179"/>
      <c r="AW48" s="169">
        <f t="shared" ref="AW48:AW91" si="65">SUM(AX48:BB48)</f>
        <v>27.5</v>
      </c>
      <c r="AX48" s="170">
        <v>9.5</v>
      </c>
      <c r="AY48" s="170">
        <v>18</v>
      </c>
      <c r="AZ48" s="179"/>
      <c r="BA48" s="179"/>
      <c r="BB48" s="179"/>
      <c r="BC48" s="172">
        <f t="shared" ref="BC48:BC91" ca="1" si="66">SUM(BD48:BH48)</f>
        <v>39.961111111111109</v>
      </c>
      <c r="BD48" s="173">
        <f t="shared" ref="BD48:BD55" ca="1" si="67">(INDEX($AA$4:$AA$7,MATCH(AE48,$Z$4:$Z$7))*(INDEX($X$27:$X$46,MATCH($AD48,$W$27:$W$46,1))/(INDEX($AA$4:$AA$7,MATCH(AE48,$Z$4:$Z$7))+INDEX($AA$4:$AA$7,MATCH(AF48,$Z$4:$Z$7)))))</f>
        <v>13.32037037037037</v>
      </c>
      <c r="BE48" s="173">
        <f t="shared" ref="BE48:BE55" ca="1" si="68">(INDEX($AA$4:$AA$7,MATCH(AF48,$Z$4:$Z$7))*(INDEX($X$27:$X$46,MATCH($AD48,$W$27:$W$46,1))/(INDEX($AA$4:$AA$7,MATCH(AE48,$Z$4:$Z$7))+INDEX($AA$4:$AA$7,MATCH(AF48,$Z$4:$Z$7)))))</f>
        <v>26.640740740740739</v>
      </c>
      <c r="BF48" s="180"/>
      <c r="BG48" s="180"/>
      <c r="BH48" s="180"/>
      <c r="BI48" s="166">
        <f t="shared" ref="BI48:BI91" ca="1" si="69">SUM(BJ48:BN48)</f>
        <v>36.554841025641025</v>
      </c>
      <c r="BJ48" s="167">
        <f t="shared" ref="BJ48:BJ55" ca="1" si="70">IF((INDEX($AA$4:$AA$7,MATCH(INDOOR_1,$Z$4:$Z$7))*(INDEX($X$118:$X$137,MATCH($AD48,$W$118:$W$137,1))/(INDEX($AA$4:$AA$7,MATCH(INDOOR_1,$Z$4:$Z$7))+INDEX($AA$4:$AA$7,MATCH(INDOOR_2,$Z$4:$Z$7)))))
&gt;BP48,BP48,
(INDEX($AA$4:$AA$7,MATCH(INDOOR_1,$Z$4:$Z$7))*(INDEX($X$118:$X$137,MATCH($AD48,$W$118:$W$137,1))/(INDEX($AA$4:$AA$7,MATCH(INDOOR_1,$Z$4:$Z$7))+INDEX($AA$4:$AA$7,MATCH(INDOOR_2,$Z$4:$Z$7))))))</f>
        <v>11.956020512820512</v>
      </c>
      <c r="BK48" s="167">
        <f t="shared" ref="BK48:BK55" ca="1" si="71">IF((INDEX($AA$4:$AA$7,MATCH(INDOOR_2,$Z$4:$Z$7))*(INDEX($X$118:$X$137,MATCH($AD48,$W$118:$W$137,1))/(INDEX($AA$4:$AA$7,MATCH(INDOOR_1,$Z$4:$Z$7))+INDEX($AA$4:$AA$7,MATCH(INDOOR_2,$Z$4:$Z$7)))))
&gt;BQ48,BQ48,
(INDEX($AA$4:$AA$7,MATCH(INDOOR_2,$Z$4:$Z$7))*(INDEX($X$118:$X$137,MATCH($AD48,$W$118:$W$137,1))/(INDEX($AA$4:$AA$7,MATCH(INDOOR_1,$Z$4:$Z$7))+INDEX($AA$4:$AA$7,MATCH(INDOOR_2,$Z$4:$Z$7))))))</f>
        <v>24.598820512820513</v>
      </c>
      <c r="BL48" s="178"/>
      <c r="BM48" s="178"/>
      <c r="BN48" s="178"/>
      <c r="BO48" s="169">
        <f t="shared" ref="BO48:BO91" ca="1" si="72">SUM(BP48:BT48)</f>
        <v>36.554841025641025</v>
      </c>
      <c r="BP48" s="170">
        <f ca="1">INDEX('Cap based on indoor unit SZ'!$V$43:$V$58,MATCH(AE48,'Cap based on indoor unit SZ'!$U$43:$U$58))</f>
        <v>11.956020512820512</v>
      </c>
      <c r="BQ48" s="170">
        <f ca="1">INDEX('Cap based on indoor unit SZ'!$V$43:$V$58,MATCH(AF48,'Cap based on indoor unit SZ'!$U$43:$U$58))</f>
        <v>24.598820512820513</v>
      </c>
      <c r="BR48" s="179"/>
      <c r="BS48" s="179"/>
      <c r="BT48" s="179"/>
      <c r="BU48" s="175">
        <v>10000</v>
      </c>
      <c r="BV48" s="175">
        <v>18000</v>
      </c>
      <c r="BW48" s="179"/>
      <c r="BX48" s="179"/>
      <c r="BY48" s="179"/>
      <c r="BZ48" s="172">
        <f t="shared" ref="BZ48:BZ91" ca="1" si="73">SUM(CA48:CE48)</f>
        <v>49.510333333333335</v>
      </c>
      <c r="CA48" s="173">
        <f t="shared" ref="CA48:CA55" ca="1" si="74">(INDEX($AA$4:$AA$7,MATCH(INDOOR_1,$Z$4:$Z$7))*(INDEX($X$118:$X$137,MATCH($AD48,$W$118:$W$137,1))/(INDEX($AA$4:$AA$7,MATCH(INDOOR_1,$Z$4:$Z$7))+INDEX($AA$4:$AA$7,MATCH(INDOOR_2,$Z$4:$Z$7)))))</f>
        <v>16.503444444444444</v>
      </c>
      <c r="CB48" s="173">
        <f t="shared" ref="CB48:CB55" ca="1" si="75">(INDEX($AA$4:$AA$7,MATCH(INDOOR_2,$Z$4:$Z$7))*(INDEX($X$118:$X$137,MATCH($AD48,$W$118:$W$137,1))/(INDEX($AA$4:$AA$7,MATCH(INDOOR_1,$Z$4:$Z$7))+INDEX($AA$4:$AA$7,MATCH(INDOOR_2,$Z$4:$Z$7)))))</f>
        <v>33.006888888888888</v>
      </c>
      <c r="CC48" s="180"/>
      <c r="CD48" s="180"/>
      <c r="CE48" s="180"/>
      <c r="CF48" s="166">
        <f t="shared" ref="CF48:CF91" ca="1" si="76">SUM(CG48:CK48)</f>
        <v>24.15254016073132</v>
      </c>
      <c r="CG48" s="167">
        <f t="shared" ref="CG48:CJ91" ca="1" si="77">AL48*(INDEX($X$67:$X$86,MATCH($AD48,$W$67:$W$86,1)))</f>
        <v>8.3446327088390255</v>
      </c>
      <c r="CH48" s="167">
        <f t="shared" ca="1" si="77"/>
        <v>15.807907451892296</v>
      </c>
      <c r="CI48" s="178"/>
      <c r="CJ48" s="178"/>
      <c r="CK48" s="178"/>
    </row>
    <row r="49" spans="2:89">
      <c r="B49" s="284">
        <v>18</v>
      </c>
      <c r="C49" s="284">
        <v>80.599999999999994</v>
      </c>
      <c r="D49" s="284">
        <v>66.2</v>
      </c>
      <c r="E49" s="8" t="s">
        <v>16</v>
      </c>
      <c r="F49" s="9">
        <v>15.620000000000001</v>
      </c>
      <c r="G49" s="9">
        <v>15.965</v>
      </c>
      <c r="H49" s="9">
        <v>15.885000000000002</v>
      </c>
      <c r="I49" s="9">
        <v>16.615000000000002</v>
      </c>
      <c r="J49" s="9">
        <v>16.22</v>
      </c>
      <c r="K49" s="9">
        <v>16.774999999999999</v>
      </c>
      <c r="L49" s="9">
        <v>17.234999999999999</v>
      </c>
      <c r="M49" s="9">
        <v>16.594999999999999</v>
      </c>
      <c r="N49" s="9">
        <v>15.414999999999999</v>
      </c>
      <c r="O49" s="9">
        <v>13.315</v>
      </c>
      <c r="P49" s="9">
        <v>12.629999999999999</v>
      </c>
      <c r="Q49" s="9">
        <v>10.445</v>
      </c>
      <c r="R49" s="6"/>
      <c r="AC49" s="164" t="s">
        <v>187</v>
      </c>
      <c r="AD49" s="164">
        <v>36</v>
      </c>
      <c r="AE49" s="165">
        <v>9</v>
      </c>
      <c r="AF49" s="165">
        <v>24</v>
      </c>
      <c r="AG49" s="165"/>
      <c r="AH49" s="165"/>
      <c r="AI49" s="164"/>
      <c r="AJ49" s="500"/>
      <c r="AK49" s="166">
        <f t="shared" ca="1" si="61"/>
        <v>34.915333333333329</v>
      </c>
      <c r="AL49" s="167">
        <f t="shared" ca="1" si="62"/>
        <v>10.463111111111111</v>
      </c>
      <c r="AM49" s="167">
        <f t="shared" ca="1" si="63"/>
        <v>24.452222222222218</v>
      </c>
      <c r="AN49" s="178"/>
      <c r="AO49" s="178"/>
      <c r="AP49" s="178"/>
      <c r="AQ49" s="169">
        <f t="shared" ca="1" si="64"/>
        <v>34.915333333333329</v>
      </c>
      <c r="AR49" s="170">
        <f ca="1">INDEX('Cap based on indoor unit SZ'!$J$6:$J$21,MATCH(AE49,'Cap based on indoor unit SZ'!$I$6:$I$21))</f>
        <v>10.463111111111111</v>
      </c>
      <c r="AS49" s="170">
        <f ca="1">INDEX('Cap based on indoor unit SZ'!$J$6:$J$21,MATCH(AF49,'Cap based on indoor unit SZ'!$I$6:$I$21))</f>
        <v>24.452222222222218</v>
      </c>
      <c r="AT49" s="179"/>
      <c r="AU49" s="179"/>
      <c r="AV49" s="179"/>
      <c r="AW49" s="169">
        <f t="shared" si="65"/>
        <v>33.5</v>
      </c>
      <c r="AX49" s="170">
        <v>9.5</v>
      </c>
      <c r="AY49" s="170">
        <v>24</v>
      </c>
      <c r="AZ49" s="179"/>
      <c r="BA49" s="179"/>
      <c r="BB49" s="179"/>
      <c r="BC49" s="172">
        <f t="shared" ca="1" si="66"/>
        <v>39.961111111111109</v>
      </c>
      <c r="BD49" s="173">
        <f t="shared" ca="1" si="67"/>
        <v>10.898484848484848</v>
      </c>
      <c r="BE49" s="173">
        <f t="shared" ca="1" si="68"/>
        <v>29.06262626262626</v>
      </c>
      <c r="BF49" s="180"/>
      <c r="BG49" s="180"/>
      <c r="BH49" s="180"/>
      <c r="BI49" s="166">
        <f t="shared" ca="1" si="69"/>
        <v>42.246020512820515</v>
      </c>
      <c r="BJ49" s="167">
        <f t="shared" ca="1" si="70"/>
        <v>11.956020512820512</v>
      </c>
      <c r="BK49" s="167">
        <f t="shared" ca="1" si="71"/>
        <v>30.290000000000003</v>
      </c>
      <c r="BL49" s="178"/>
      <c r="BM49" s="178"/>
      <c r="BN49" s="178"/>
      <c r="BO49" s="169">
        <f t="shared" ca="1" si="72"/>
        <v>42.246020512820515</v>
      </c>
      <c r="BP49" s="170">
        <f ca="1">INDEX('Cap based on indoor unit SZ'!$V$43:$V$58,MATCH(AE49,'Cap based on indoor unit SZ'!$U$43:$U$58))</f>
        <v>11.956020512820512</v>
      </c>
      <c r="BQ49" s="170">
        <f ca="1">INDEX('Cap based on indoor unit SZ'!$V$43:$V$58,MATCH(AF49,'Cap based on indoor unit SZ'!$U$43:$U$58))</f>
        <v>30.290000000000003</v>
      </c>
      <c r="BR49" s="179"/>
      <c r="BS49" s="179"/>
      <c r="BT49" s="179"/>
      <c r="BU49" s="175">
        <v>10000</v>
      </c>
      <c r="BV49" s="175">
        <v>25000</v>
      </c>
      <c r="BW49" s="179"/>
      <c r="BX49" s="179"/>
      <c r="BY49" s="179"/>
      <c r="BZ49" s="172">
        <f t="shared" ca="1" si="73"/>
        <v>49.510333333333335</v>
      </c>
      <c r="CA49" s="173">
        <f t="shared" ca="1" si="74"/>
        <v>13.502818181818183</v>
      </c>
      <c r="CB49" s="173">
        <f t="shared" ca="1" si="75"/>
        <v>36.00751515151515</v>
      </c>
      <c r="CC49" s="180"/>
      <c r="CD49" s="180"/>
      <c r="CE49" s="180"/>
      <c r="CF49" s="166">
        <f t="shared" ca="1" si="76"/>
        <v>27.845984762978478</v>
      </c>
      <c r="CG49" s="167">
        <f t="shared" ca="1" si="77"/>
        <v>8.3446327088390255</v>
      </c>
      <c r="CH49" s="167">
        <f t="shared" ca="1" si="77"/>
        <v>19.501352054139453</v>
      </c>
      <c r="CI49" s="178"/>
      <c r="CJ49" s="178"/>
      <c r="CK49" s="178"/>
    </row>
    <row r="50" spans="2:89">
      <c r="B50" s="284">
        <v>18</v>
      </c>
      <c r="C50" s="284">
        <v>89.6</v>
      </c>
      <c r="D50" s="284">
        <v>73.400000000000006</v>
      </c>
      <c r="E50" s="8" t="s">
        <v>16</v>
      </c>
      <c r="F50" s="9">
        <v>16.89</v>
      </c>
      <c r="G50" s="9">
        <v>17.265000000000001</v>
      </c>
      <c r="H50" s="9">
        <v>17.424999999999997</v>
      </c>
      <c r="I50" s="9">
        <v>17.835000000000001</v>
      </c>
      <c r="J50" s="9">
        <v>18.274999999999999</v>
      </c>
      <c r="K50" s="9">
        <v>18.384999999999998</v>
      </c>
      <c r="L50" s="9">
        <v>21.524999999999999</v>
      </c>
      <c r="M50" s="9">
        <v>20.925000000000001</v>
      </c>
      <c r="N50" s="9">
        <v>19.715</v>
      </c>
      <c r="O50" s="9">
        <v>14.620000000000001</v>
      </c>
      <c r="P50" s="9">
        <v>13.49</v>
      </c>
      <c r="Q50" s="9">
        <v>11.219999999999999</v>
      </c>
      <c r="R50" s="6"/>
      <c r="AC50" s="164" t="s">
        <v>186</v>
      </c>
      <c r="AD50" s="164">
        <v>36</v>
      </c>
      <c r="AE50" s="165">
        <v>12</v>
      </c>
      <c r="AF50" s="165">
        <v>12</v>
      </c>
      <c r="AG50" s="165"/>
      <c r="AH50" s="164"/>
      <c r="AI50" s="164"/>
      <c r="AJ50" s="500"/>
      <c r="AK50" s="166">
        <f t="shared" ca="1" si="61"/>
        <v>26.157777777777781</v>
      </c>
      <c r="AL50" s="167">
        <f t="shared" ca="1" si="62"/>
        <v>13.078888888888891</v>
      </c>
      <c r="AM50" s="167">
        <f t="shared" ca="1" si="63"/>
        <v>13.078888888888891</v>
      </c>
      <c r="AN50" s="178"/>
      <c r="AO50" s="178"/>
      <c r="AP50" s="178"/>
      <c r="AQ50" s="169">
        <f t="shared" ca="1" si="64"/>
        <v>26.157777777777781</v>
      </c>
      <c r="AR50" s="170">
        <f ca="1">INDEX('Cap based on indoor unit SZ'!$J$6:$J$21,MATCH(AE50,'Cap based on indoor unit SZ'!$I$6:$I$21))</f>
        <v>13.078888888888891</v>
      </c>
      <c r="AS50" s="170">
        <f ca="1">INDEX('Cap based on indoor unit SZ'!$J$6:$J$21,MATCH(AF50,'Cap based on indoor unit SZ'!$I$6:$I$21))</f>
        <v>13.078888888888891</v>
      </c>
      <c r="AT50" s="179"/>
      <c r="AU50" s="179"/>
      <c r="AV50" s="179"/>
      <c r="AW50" s="169">
        <f t="shared" si="65"/>
        <v>25</v>
      </c>
      <c r="AX50" s="170">
        <v>12.5</v>
      </c>
      <c r="AY50" s="170">
        <v>12.5</v>
      </c>
      <c r="AZ50" s="179"/>
      <c r="BA50" s="179"/>
      <c r="BB50" s="179"/>
      <c r="BC50" s="172">
        <f t="shared" ca="1" si="66"/>
        <v>39.961111111111109</v>
      </c>
      <c r="BD50" s="173">
        <f t="shared" ca="1" si="67"/>
        <v>19.980555555555554</v>
      </c>
      <c r="BE50" s="173">
        <f t="shared" ca="1" si="68"/>
        <v>19.980555555555554</v>
      </c>
      <c r="BF50" s="180"/>
      <c r="BG50" s="180"/>
      <c r="BH50" s="180"/>
      <c r="BI50" s="166">
        <f t="shared" ca="1" si="69"/>
        <v>29.890051282051282</v>
      </c>
      <c r="BJ50" s="167">
        <f t="shared" ca="1" si="70"/>
        <v>14.945025641025641</v>
      </c>
      <c r="BK50" s="167">
        <f t="shared" ca="1" si="71"/>
        <v>14.945025641025641</v>
      </c>
      <c r="BL50" s="178"/>
      <c r="BM50" s="178"/>
      <c r="BN50" s="178"/>
      <c r="BO50" s="169">
        <f t="shared" ca="1" si="72"/>
        <v>29.890051282051282</v>
      </c>
      <c r="BP50" s="170">
        <f ca="1">INDEX('Cap based on indoor unit SZ'!$V$43:$V$58,MATCH(AE50,'Cap based on indoor unit SZ'!$U$43:$U$58))</f>
        <v>14.945025641025641</v>
      </c>
      <c r="BQ50" s="170">
        <f ca="1">INDEX('Cap based on indoor unit SZ'!$V$43:$V$58,MATCH(AF50,'Cap based on indoor unit SZ'!$U$43:$U$58))</f>
        <v>14.945025641025641</v>
      </c>
      <c r="BR50" s="179"/>
      <c r="BS50" s="179"/>
      <c r="BT50" s="179"/>
      <c r="BU50" s="175">
        <v>13000</v>
      </c>
      <c r="BV50" s="175">
        <v>13000</v>
      </c>
      <c r="BW50" s="179"/>
      <c r="BX50" s="179"/>
      <c r="BY50" s="179"/>
      <c r="BZ50" s="172">
        <f t="shared" ca="1" si="73"/>
        <v>49.510333333333335</v>
      </c>
      <c r="CA50" s="173">
        <f t="shared" ca="1" si="74"/>
        <v>24.755166666666668</v>
      </c>
      <c r="CB50" s="173">
        <f t="shared" ca="1" si="75"/>
        <v>24.755166666666668</v>
      </c>
      <c r="CC50" s="180"/>
      <c r="CD50" s="180"/>
      <c r="CE50" s="180"/>
      <c r="CF50" s="166">
        <f t="shared" ca="1" si="76"/>
        <v>20.861581772097566</v>
      </c>
      <c r="CG50" s="167">
        <f t="shared" ca="1" si="77"/>
        <v>10.430790886048783</v>
      </c>
      <c r="CH50" s="167">
        <f t="shared" ca="1" si="77"/>
        <v>10.430790886048783</v>
      </c>
      <c r="CI50" s="178"/>
      <c r="CJ50" s="178"/>
      <c r="CK50" s="178"/>
    </row>
    <row r="51" spans="2:89">
      <c r="B51" s="283">
        <v>24</v>
      </c>
      <c r="C51" s="284">
        <v>69.8</v>
      </c>
      <c r="D51" s="284">
        <v>59</v>
      </c>
      <c r="E51" s="8" t="s">
        <v>16</v>
      </c>
      <c r="F51" s="9">
        <v>20.645</v>
      </c>
      <c r="G51" s="9">
        <v>21.105</v>
      </c>
      <c r="H51" s="9">
        <v>21</v>
      </c>
      <c r="I51" s="9">
        <v>21.02</v>
      </c>
      <c r="J51" s="9">
        <v>20.785</v>
      </c>
      <c r="K51" s="9">
        <v>21.11</v>
      </c>
      <c r="L51" s="9">
        <v>23.15</v>
      </c>
      <c r="M51" s="9">
        <v>21.375</v>
      </c>
      <c r="N51" s="9">
        <v>20.310000000000002</v>
      </c>
      <c r="O51" s="9">
        <v>18.12</v>
      </c>
      <c r="P51" s="9">
        <v>16.535</v>
      </c>
      <c r="Q51" s="9">
        <v>14.805</v>
      </c>
      <c r="R51" s="6"/>
      <c r="AC51" s="164" t="s">
        <v>185</v>
      </c>
      <c r="AD51" s="164">
        <v>36</v>
      </c>
      <c r="AE51" s="165">
        <v>12</v>
      </c>
      <c r="AF51" s="165">
        <v>18</v>
      </c>
      <c r="AG51" s="165"/>
      <c r="AH51" s="164"/>
      <c r="AI51" s="164"/>
      <c r="AJ51" s="500"/>
      <c r="AK51" s="166">
        <f t="shared" ca="1" si="61"/>
        <v>32.900000000000006</v>
      </c>
      <c r="AL51" s="167">
        <f t="shared" ca="1" si="62"/>
        <v>13.078888888888891</v>
      </c>
      <c r="AM51" s="167">
        <f t="shared" ca="1" si="63"/>
        <v>19.821111111111112</v>
      </c>
      <c r="AN51" s="178"/>
      <c r="AO51" s="178"/>
      <c r="AP51" s="178"/>
      <c r="AQ51" s="169">
        <f t="shared" ca="1" si="64"/>
        <v>32.900000000000006</v>
      </c>
      <c r="AR51" s="170">
        <f ca="1">INDEX('Cap based on indoor unit SZ'!$J$6:$J$21,MATCH(AE51,'Cap based on indoor unit SZ'!$I$6:$I$21))</f>
        <v>13.078888888888891</v>
      </c>
      <c r="AS51" s="170">
        <f ca="1">INDEX('Cap based on indoor unit SZ'!$J$6:$J$21,MATCH(AF51,'Cap based on indoor unit SZ'!$I$6:$I$21))</f>
        <v>19.821111111111112</v>
      </c>
      <c r="AT51" s="179"/>
      <c r="AU51" s="179"/>
      <c r="AV51" s="179"/>
      <c r="AW51" s="169">
        <f t="shared" si="65"/>
        <v>30</v>
      </c>
      <c r="AX51" s="170">
        <v>12</v>
      </c>
      <c r="AY51" s="170">
        <v>18</v>
      </c>
      <c r="AZ51" s="179"/>
      <c r="BA51" s="179"/>
      <c r="BB51" s="179"/>
      <c r="BC51" s="172">
        <f t="shared" ca="1" si="66"/>
        <v>39.961111111111109</v>
      </c>
      <c r="BD51" s="173">
        <f t="shared" ca="1" si="67"/>
        <v>15.984444444444444</v>
      </c>
      <c r="BE51" s="173">
        <f t="shared" ca="1" si="68"/>
        <v>23.976666666666667</v>
      </c>
      <c r="BF51" s="180"/>
      <c r="BG51" s="180"/>
      <c r="BH51" s="180"/>
      <c r="BI51" s="166">
        <f t="shared" ca="1" si="69"/>
        <v>39.543846153846154</v>
      </c>
      <c r="BJ51" s="167">
        <f t="shared" ca="1" si="70"/>
        <v>14.945025641025641</v>
      </c>
      <c r="BK51" s="167">
        <f t="shared" ca="1" si="71"/>
        <v>24.598820512820513</v>
      </c>
      <c r="BL51" s="178"/>
      <c r="BM51" s="178"/>
      <c r="BN51" s="178"/>
      <c r="BO51" s="169">
        <f t="shared" ca="1" si="72"/>
        <v>39.543846153846154</v>
      </c>
      <c r="BP51" s="170">
        <f ca="1">INDEX('Cap based on indoor unit SZ'!$V$43:$V$58,MATCH(AE51,'Cap based on indoor unit SZ'!$U$43:$U$58))</f>
        <v>14.945025641025641</v>
      </c>
      <c r="BQ51" s="170">
        <f ca="1">INDEX('Cap based on indoor unit SZ'!$V$43:$V$58,MATCH(AF51,'Cap based on indoor unit SZ'!$U$43:$U$58))</f>
        <v>24.598820512820513</v>
      </c>
      <c r="BR51" s="179"/>
      <c r="BS51" s="179"/>
      <c r="BT51" s="179"/>
      <c r="BU51" s="175">
        <v>13000</v>
      </c>
      <c r="BV51" s="175">
        <v>19000</v>
      </c>
      <c r="BW51" s="179"/>
      <c r="BX51" s="179"/>
      <c r="BY51" s="179"/>
      <c r="BZ51" s="172">
        <f t="shared" ca="1" si="73"/>
        <v>49.510333333333335</v>
      </c>
      <c r="CA51" s="173">
        <f t="shared" ca="1" si="74"/>
        <v>19.804133333333333</v>
      </c>
      <c r="CB51" s="173">
        <f t="shared" ca="1" si="75"/>
        <v>29.706200000000003</v>
      </c>
      <c r="CC51" s="180"/>
      <c r="CD51" s="180"/>
      <c r="CE51" s="180"/>
      <c r="CF51" s="166">
        <f t="shared" ca="1" si="76"/>
        <v>26.238698337941081</v>
      </c>
      <c r="CG51" s="167">
        <f t="shared" ca="1" si="77"/>
        <v>10.430790886048783</v>
      </c>
      <c r="CH51" s="167">
        <f t="shared" ca="1" si="77"/>
        <v>15.807907451892296</v>
      </c>
      <c r="CI51" s="178"/>
      <c r="CJ51" s="178"/>
      <c r="CK51" s="178"/>
    </row>
    <row r="52" spans="2:89">
      <c r="B52" s="283">
        <v>24</v>
      </c>
      <c r="C52" s="284">
        <v>75.2</v>
      </c>
      <c r="D52" s="284">
        <v>62.6</v>
      </c>
      <c r="E52" s="8" t="s">
        <v>16</v>
      </c>
      <c r="F52" s="9">
        <v>22.295000000000002</v>
      </c>
      <c r="G52" s="9">
        <v>22.79</v>
      </c>
      <c r="H52" s="9">
        <v>22.68</v>
      </c>
      <c r="I52" s="9">
        <v>22.704999999999998</v>
      </c>
      <c r="J52" s="9">
        <v>22.45</v>
      </c>
      <c r="K52" s="9">
        <v>22.8</v>
      </c>
      <c r="L52" s="9">
        <v>24.094999999999999</v>
      </c>
      <c r="M52" s="9">
        <v>23.094999999999999</v>
      </c>
      <c r="N52" s="9">
        <v>21.945</v>
      </c>
      <c r="O52" s="9">
        <v>18.690000000000001</v>
      </c>
      <c r="P52" s="9">
        <v>17.310000000000002</v>
      </c>
      <c r="Q52" s="9">
        <v>15.885</v>
      </c>
      <c r="R52" s="6"/>
      <c r="AC52" s="164" t="s">
        <v>184</v>
      </c>
      <c r="AD52" s="164">
        <v>36</v>
      </c>
      <c r="AE52" s="165">
        <v>12</v>
      </c>
      <c r="AF52" s="165">
        <v>24</v>
      </c>
      <c r="AG52" s="165"/>
      <c r="AH52" s="164"/>
      <c r="AI52" s="164"/>
      <c r="AJ52" s="500"/>
      <c r="AK52" s="166">
        <f t="shared" ca="1" si="61"/>
        <v>37.531111111111109</v>
      </c>
      <c r="AL52" s="167">
        <f t="shared" ca="1" si="62"/>
        <v>13.078888888888891</v>
      </c>
      <c r="AM52" s="167">
        <f t="shared" ca="1" si="63"/>
        <v>24.452222222222218</v>
      </c>
      <c r="AN52" s="178"/>
      <c r="AO52" s="178"/>
      <c r="AP52" s="178"/>
      <c r="AQ52" s="169">
        <f t="shared" ca="1" si="64"/>
        <v>37.531111111111109</v>
      </c>
      <c r="AR52" s="170">
        <f ca="1">INDEX('Cap based on indoor unit SZ'!$J$6:$J$21,MATCH(AE52,'Cap based on indoor unit SZ'!$I$6:$I$21))</f>
        <v>13.078888888888891</v>
      </c>
      <c r="AS52" s="170">
        <f ca="1">INDEX('Cap based on indoor unit SZ'!$J$6:$J$21,MATCH(AF52,'Cap based on indoor unit SZ'!$I$6:$I$21))</f>
        <v>24.452222222222218</v>
      </c>
      <c r="AT52" s="179"/>
      <c r="AU52" s="179"/>
      <c r="AV52" s="179"/>
      <c r="AW52" s="169">
        <f t="shared" si="65"/>
        <v>36</v>
      </c>
      <c r="AX52" s="170">
        <v>12</v>
      </c>
      <c r="AY52" s="170">
        <v>24</v>
      </c>
      <c r="AZ52" s="179"/>
      <c r="BA52" s="179"/>
      <c r="BB52" s="179"/>
      <c r="BC52" s="172">
        <f t="shared" ca="1" si="66"/>
        <v>39.961111111111109</v>
      </c>
      <c r="BD52" s="173">
        <f t="shared" ca="1" si="67"/>
        <v>13.32037037037037</v>
      </c>
      <c r="BE52" s="173">
        <f t="shared" ca="1" si="68"/>
        <v>26.640740740740739</v>
      </c>
      <c r="BF52" s="180"/>
      <c r="BG52" s="180"/>
      <c r="BH52" s="180"/>
      <c r="BI52" s="166">
        <f t="shared" ca="1" si="69"/>
        <v>45.235025641025643</v>
      </c>
      <c r="BJ52" s="167">
        <f t="shared" ca="1" si="70"/>
        <v>14.945025641025641</v>
      </c>
      <c r="BK52" s="167">
        <f t="shared" ca="1" si="71"/>
        <v>30.290000000000003</v>
      </c>
      <c r="BL52" s="178"/>
      <c r="BM52" s="178"/>
      <c r="BN52" s="178"/>
      <c r="BO52" s="169">
        <f t="shared" ca="1" si="72"/>
        <v>45.235025641025643</v>
      </c>
      <c r="BP52" s="170">
        <f ca="1">INDEX('Cap based on indoor unit SZ'!$V$43:$V$58,MATCH(AE52,'Cap based on indoor unit SZ'!$U$43:$U$58))</f>
        <v>14.945025641025641</v>
      </c>
      <c r="BQ52" s="170">
        <f ca="1">INDEX('Cap based on indoor unit SZ'!$V$43:$V$58,MATCH(AF52,'Cap based on indoor unit SZ'!$U$43:$U$58))</f>
        <v>30.290000000000003</v>
      </c>
      <c r="BR52" s="179"/>
      <c r="BS52" s="179"/>
      <c r="BT52" s="179"/>
      <c r="BU52" s="175">
        <v>10000</v>
      </c>
      <c r="BV52" s="175">
        <v>25000</v>
      </c>
      <c r="BW52" s="179"/>
      <c r="BX52" s="179"/>
      <c r="BY52" s="179"/>
      <c r="BZ52" s="172">
        <f t="shared" ca="1" si="73"/>
        <v>49.510333333333335</v>
      </c>
      <c r="CA52" s="173">
        <f t="shared" ca="1" si="74"/>
        <v>16.503444444444444</v>
      </c>
      <c r="CB52" s="173">
        <f t="shared" ca="1" si="75"/>
        <v>33.006888888888888</v>
      </c>
      <c r="CC52" s="180"/>
      <c r="CD52" s="180"/>
      <c r="CE52" s="180"/>
      <c r="CF52" s="166">
        <f t="shared" ca="1" si="76"/>
        <v>29.932142940188236</v>
      </c>
      <c r="CG52" s="167">
        <f t="shared" ca="1" si="77"/>
        <v>10.430790886048783</v>
      </c>
      <c r="CH52" s="167">
        <f t="shared" ca="1" si="77"/>
        <v>19.501352054139453</v>
      </c>
      <c r="CI52" s="178"/>
      <c r="CJ52" s="178"/>
      <c r="CK52" s="178"/>
    </row>
    <row r="53" spans="2:89">
      <c r="B53" s="283">
        <v>24</v>
      </c>
      <c r="C53" s="284">
        <v>80.599999999999994</v>
      </c>
      <c r="D53" s="284">
        <v>66.2</v>
      </c>
      <c r="E53" s="8" t="s">
        <v>16</v>
      </c>
      <c r="F53" s="9">
        <v>24.204999999999998</v>
      </c>
      <c r="G53" s="9">
        <v>24.740000000000002</v>
      </c>
      <c r="H53" s="9">
        <v>24.734999999999999</v>
      </c>
      <c r="I53" s="9">
        <v>24.605</v>
      </c>
      <c r="J53" s="9">
        <v>24.745000000000001</v>
      </c>
      <c r="K53" s="9">
        <v>24.884999999999998</v>
      </c>
      <c r="L53" s="9">
        <v>24.994999999999997</v>
      </c>
      <c r="M53" s="9">
        <v>24.274999999999999</v>
      </c>
      <c r="N53" s="9">
        <v>23.28</v>
      </c>
      <c r="O53" s="9">
        <v>20.425000000000001</v>
      </c>
      <c r="P53" s="9">
        <v>22.060000000000002</v>
      </c>
      <c r="Q53" s="9">
        <v>19.215</v>
      </c>
      <c r="R53" s="6"/>
      <c r="AC53" s="164" t="s">
        <v>183</v>
      </c>
      <c r="AD53" s="164">
        <v>36</v>
      </c>
      <c r="AE53" s="165">
        <v>18</v>
      </c>
      <c r="AF53" s="165">
        <v>18</v>
      </c>
      <c r="AG53" s="165"/>
      <c r="AH53" s="164"/>
      <c r="AI53" s="164"/>
      <c r="AJ53" s="500"/>
      <c r="AK53" s="166">
        <f t="shared" ca="1" si="61"/>
        <v>39.642222222222223</v>
      </c>
      <c r="AL53" s="167">
        <f t="shared" ca="1" si="62"/>
        <v>19.821111111111112</v>
      </c>
      <c r="AM53" s="167">
        <f t="shared" ca="1" si="63"/>
        <v>19.821111111111112</v>
      </c>
      <c r="AN53" s="178"/>
      <c r="AO53" s="178"/>
      <c r="AP53" s="178"/>
      <c r="AQ53" s="169">
        <f t="shared" ca="1" si="64"/>
        <v>39.642222222222223</v>
      </c>
      <c r="AR53" s="170">
        <f ca="1">INDEX('Cap based on indoor unit SZ'!$J$6:$J$21,MATCH(AE53,'Cap based on indoor unit SZ'!$I$6:$I$21))</f>
        <v>19.821111111111112</v>
      </c>
      <c r="AS53" s="170">
        <f ca="1">INDEX('Cap based on indoor unit SZ'!$J$6:$J$21,MATCH(AF53,'Cap based on indoor unit SZ'!$I$6:$I$21))</f>
        <v>19.821111111111112</v>
      </c>
      <c r="AT53" s="179"/>
      <c r="AU53" s="179"/>
      <c r="AV53" s="179"/>
      <c r="AW53" s="169">
        <f t="shared" si="65"/>
        <v>37</v>
      </c>
      <c r="AX53" s="170">
        <v>18.5</v>
      </c>
      <c r="AY53" s="170">
        <v>18.5</v>
      </c>
      <c r="AZ53" s="179"/>
      <c r="BA53" s="179"/>
      <c r="BB53" s="179"/>
      <c r="BC53" s="172">
        <f t="shared" ca="1" si="66"/>
        <v>39.961111111111109</v>
      </c>
      <c r="BD53" s="173">
        <f t="shared" ca="1" si="67"/>
        <v>19.980555555555554</v>
      </c>
      <c r="BE53" s="173">
        <f t="shared" ca="1" si="68"/>
        <v>19.980555555555554</v>
      </c>
      <c r="BF53" s="180"/>
      <c r="BG53" s="180"/>
      <c r="BH53" s="180"/>
      <c r="BI53" s="166">
        <f t="shared" ca="1" si="69"/>
        <v>49.197641025641026</v>
      </c>
      <c r="BJ53" s="167">
        <f t="shared" ca="1" si="70"/>
        <v>24.598820512820513</v>
      </c>
      <c r="BK53" s="167">
        <f t="shared" ca="1" si="71"/>
        <v>24.598820512820513</v>
      </c>
      <c r="BL53" s="178"/>
      <c r="BM53" s="178"/>
      <c r="BN53" s="178"/>
      <c r="BO53" s="169">
        <f t="shared" ca="1" si="72"/>
        <v>49.197641025641026</v>
      </c>
      <c r="BP53" s="170">
        <f ca="1">INDEX('Cap based on indoor unit SZ'!$V$43:$V$58,MATCH(AE53,'Cap based on indoor unit SZ'!$U$43:$U$58))</f>
        <v>24.598820512820513</v>
      </c>
      <c r="BQ53" s="170">
        <f ca="1">INDEX('Cap based on indoor unit SZ'!$V$43:$V$58,MATCH(AF53,'Cap based on indoor unit SZ'!$U$43:$U$58))</f>
        <v>24.598820512820513</v>
      </c>
      <c r="BR53" s="179"/>
      <c r="BS53" s="179"/>
      <c r="BT53" s="179"/>
      <c r="BU53" s="175">
        <v>19000</v>
      </c>
      <c r="BV53" s="175">
        <v>19000</v>
      </c>
      <c r="BW53" s="179"/>
      <c r="BX53" s="179"/>
      <c r="BY53" s="179"/>
      <c r="BZ53" s="172">
        <f t="shared" ca="1" si="73"/>
        <v>49.510333333333335</v>
      </c>
      <c r="CA53" s="173">
        <f t="shared" ca="1" si="74"/>
        <v>24.755166666666668</v>
      </c>
      <c r="CB53" s="173">
        <f t="shared" ca="1" si="75"/>
        <v>24.755166666666668</v>
      </c>
      <c r="CC53" s="180"/>
      <c r="CD53" s="180"/>
      <c r="CE53" s="180"/>
      <c r="CF53" s="166">
        <f t="shared" ca="1" si="76"/>
        <v>31.615814903784592</v>
      </c>
      <c r="CG53" s="167">
        <f t="shared" ca="1" si="77"/>
        <v>15.807907451892296</v>
      </c>
      <c r="CH53" s="167">
        <f t="shared" ca="1" si="77"/>
        <v>15.807907451892296</v>
      </c>
      <c r="CI53" s="178"/>
      <c r="CJ53" s="178"/>
      <c r="CK53" s="178"/>
    </row>
    <row r="54" spans="2:89">
      <c r="B54" s="283">
        <v>24</v>
      </c>
      <c r="C54" s="284">
        <v>89.6</v>
      </c>
      <c r="D54" s="284">
        <v>73.400000000000006</v>
      </c>
      <c r="E54" s="8" t="s">
        <v>16</v>
      </c>
      <c r="F54" s="9">
        <v>25.895</v>
      </c>
      <c r="G54" s="9">
        <v>26.47</v>
      </c>
      <c r="H54" s="9">
        <v>26.465</v>
      </c>
      <c r="I54" s="9">
        <v>26.324999999999999</v>
      </c>
      <c r="J54" s="9">
        <v>26.47</v>
      </c>
      <c r="K54" s="9">
        <v>28.91</v>
      </c>
      <c r="L54" s="9">
        <v>31.119999999999997</v>
      </c>
      <c r="M54" s="9">
        <v>30.484999999999999</v>
      </c>
      <c r="N54" s="9">
        <v>29.62</v>
      </c>
      <c r="O54" s="9">
        <v>23.29</v>
      </c>
      <c r="P54" s="9">
        <v>22.865000000000002</v>
      </c>
      <c r="Q54" s="9">
        <v>20.66</v>
      </c>
      <c r="R54" s="6"/>
      <c r="AC54" s="164" t="s">
        <v>182</v>
      </c>
      <c r="AD54" s="164">
        <v>36</v>
      </c>
      <c r="AE54" s="165">
        <v>18</v>
      </c>
      <c r="AF54" s="165">
        <v>24</v>
      </c>
      <c r="AG54" s="165"/>
      <c r="AH54" s="164"/>
      <c r="AI54" s="164"/>
      <c r="AJ54" s="512"/>
      <c r="AK54" s="166">
        <f t="shared" ca="1" si="61"/>
        <v>39.961111111111109</v>
      </c>
      <c r="AL54" s="167">
        <f t="shared" ca="1" si="62"/>
        <v>17.126190476190477</v>
      </c>
      <c r="AM54" s="167">
        <f t="shared" ca="1" si="63"/>
        <v>22.834920634920636</v>
      </c>
      <c r="AN54" s="178"/>
      <c r="AO54" s="178"/>
      <c r="AP54" s="178"/>
      <c r="AQ54" s="169">
        <f t="shared" ca="1" si="64"/>
        <v>44.273333333333326</v>
      </c>
      <c r="AR54" s="170">
        <f ca="1">INDEX('Cap based on indoor unit SZ'!$J$6:$J$21,MATCH(AE54,'Cap based on indoor unit SZ'!$I$6:$I$21))</f>
        <v>19.821111111111112</v>
      </c>
      <c r="AS54" s="170">
        <f ca="1">INDEX('Cap based on indoor unit SZ'!$J$6:$J$21,MATCH(AF54,'Cap based on indoor unit SZ'!$I$6:$I$21))</f>
        <v>24.452222222222218</v>
      </c>
      <c r="AT54" s="179"/>
      <c r="AU54" s="179"/>
      <c r="AV54" s="179"/>
      <c r="AW54" s="169">
        <f t="shared" si="65"/>
        <v>40</v>
      </c>
      <c r="AX54" s="170">
        <v>17.5</v>
      </c>
      <c r="AY54" s="170">
        <v>22.5</v>
      </c>
      <c r="AZ54" s="179"/>
      <c r="BA54" s="179"/>
      <c r="BB54" s="179"/>
      <c r="BC54" s="172">
        <f t="shared" ca="1" si="66"/>
        <v>39.961111111111109</v>
      </c>
      <c r="BD54" s="173">
        <f t="shared" ca="1" si="67"/>
        <v>17.126190476190477</v>
      </c>
      <c r="BE54" s="173">
        <f t="shared" ca="1" si="68"/>
        <v>22.834920634920636</v>
      </c>
      <c r="BF54" s="180"/>
      <c r="BG54" s="180"/>
      <c r="BH54" s="180"/>
      <c r="BI54" s="166">
        <f t="shared" ca="1" si="69"/>
        <v>49.510333333333335</v>
      </c>
      <c r="BJ54" s="167">
        <f t="shared" ca="1" si="70"/>
        <v>21.218714285714288</v>
      </c>
      <c r="BK54" s="167">
        <f t="shared" ca="1" si="71"/>
        <v>28.291619047619051</v>
      </c>
      <c r="BL54" s="178"/>
      <c r="BM54" s="178"/>
      <c r="BN54" s="178"/>
      <c r="BO54" s="169">
        <f t="shared" ca="1" si="72"/>
        <v>54.888820512820516</v>
      </c>
      <c r="BP54" s="170">
        <f ca="1">INDEX('Cap based on indoor unit SZ'!$V$43:$V$58,MATCH(AE54,'Cap based on indoor unit SZ'!$U$43:$U$58))</f>
        <v>24.598820512820513</v>
      </c>
      <c r="BQ54" s="170">
        <f ca="1">INDEX('Cap based on indoor unit SZ'!$V$43:$V$58,MATCH(AF54,'Cap based on indoor unit SZ'!$U$43:$U$58))</f>
        <v>30.290000000000003</v>
      </c>
      <c r="BR54" s="179"/>
      <c r="BS54" s="179"/>
      <c r="BT54" s="179"/>
      <c r="BU54" s="175">
        <v>18000</v>
      </c>
      <c r="BV54" s="175">
        <v>23000</v>
      </c>
      <c r="BW54" s="179"/>
      <c r="BX54" s="179"/>
      <c r="BY54" s="179"/>
      <c r="BZ54" s="172">
        <f t="shared" ca="1" si="73"/>
        <v>49.510333333333335</v>
      </c>
      <c r="CA54" s="173">
        <f t="shared" ca="1" si="74"/>
        <v>21.218714285714288</v>
      </c>
      <c r="CB54" s="173">
        <f t="shared" ca="1" si="75"/>
        <v>28.291619047619051</v>
      </c>
      <c r="CC54" s="180"/>
      <c r="CD54" s="180"/>
      <c r="CE54" s="180"/>
      <c r="CF54" s="166">
        <f t="shared" ca="1" si="76"/>
        <v>31.87013798460152</v>
      </c>
      <c r="CG54" s="167">
        <f t="shared" ca="1" si="77"/>
        <v>13.658630564829222</v>
      </c>
      <c r="CH54" s="167">
        <f t="shared" ca="1" si="77"/>
        <v>18.211507419772296</v>
      </c>
      <c r="CI54" s="178"/>
      <c r="CJ54" s="178"/>
      <c r="CK54" s="178"/>
    </row>
    <row r="55" spans="2:89">
      <c r="B55" s="283">
        <v>30</v>
      </c>
      <c r="C55" s="284">
        <v>69.8</v>
      </c>
      <c r="D55" s="284">
        <v>59</v>
      </c>
      <c r="E55" s="8" t="s">
        <v>16</v>
      </c>
      <c r="F55" s="9">
        <v>25.864999999999998</v>
      </c>
      <c r="G55" s="9">
        <v>26.439999999999998</v>
      </c>
      <c r="H55" s="9">
        <v>26.414999999999999</v>
      </c>
      <c r="I55" s="9">
        <v>26.305</v>
      </c>
      <c r="J55" s="9">
        <v>26.369999999999997</v>
      </c>
      <c r="K55" s="9">
        <v>27.975000000000001</v>
      </c>
      <c r="L55" s="9">
        <v>29.755000000000003</v>
      </c>
      <c r="M55" s="9">
        <v>28.950000000000003</v>
      </c>
      <c r="N55" s="9">
        <v>28.064999999999998</v>
      </c>
      <c r="O55" s="9">
        <v>24.465</v>
      </c>
      <c r="P55" s="9">
        <v>24.08</v>
      </c>
      <c r="Q55" s="9">
        <v>21.305</v>
      </c>
      <c r="R55" s="6"/>
      <c r="AC55" s="164" t="s">
        <v>181</v>
      </c>
      <c r="AD55" s="164">
        <v>36</v>
      </c>
      <c r="AE55" s="165">
        <v>24</v>
      </c>
      <c r="AF55" s="165">
        <v>24</v>
      </c>
      <c r="AG55" s="165"/>
      <c r="AH55" s="164"/>
      <c r="AI55" s="164"/>
      <c r="AJ55" s="512"/>
      <c r="AK55" s="166">
        <f t="shared" ca="1" si="61"/>
        <v>39.961111111111109</v>
      </c>
      <c r="AL55" s="167">
        <f t="shared" ca="1" si="62"/>
        <v>19.980555555555554</v>
      </c>
      <c r="AM55" s="167">
        <f t="shared" ca="1" si="63"/>
        <v>19.980555555555554</v>
      </c>
      <c r="AN55" s="178"/>
      <c r="AO55" s="178"/>
      <c r="AP55" s="178"/>
      <c r="AQ55" s="169">
        <f t="shared" ca="1" si="64"/>
        <v>48.904444444444437</v>
      </c>
      <c r="AR55" s="170">
        <f ca="1">INDEX('Cap based on indoor unit SZ'!$J$6:$J$21,MATCH(AE55,'Cap based on indoor unit SZ'!$I$6:$I$21))</f>
        <v>24.452222222222218</v>
      </c>
      <c r="AS55" s="170">
        <f ca="1">INDEX('Cap based on indoor unit SZ'!$J$6:$J$21,MATCH(AF55,'Cap based on indoor unit SZ'!$I$6:$I$21))</f>
        <v>24.452222222222218</v>
      </c>
      <c r="AT55" s="179"/>
      <c r="AU55" s="179"/>
      <c r="AV55" s="179"/>
      <c r="AW55" s="169">
        <f t="shared" si="65"/>
        <v>42</v>
      </c>
      <c r="AX55" s="170">
        <v>21</v>
      </c>
      <c r="AY55" s="170">
        <v>21</v>
      </c>
      <c r="AZ55" s="179"/>
      <c r="BA55" s="179"/>
      <c r="BB55" s="179"/>
      <c r="BC55" s="172">
        <f t="shared" ca="1" si="66"/>
        <v>39.961111111111109</v>
      </c>
      <c r="BD55" s="173">
        <f t="shared" ca="1" si="67"/>
        <v>19.980555555555554</v>
      </c>
      <c r="BE55" s="173">
        <f t="shared" ca="1" si="68"/>
        <v>19.980555555555554</v>
      </c>
      <c r="BF55" s="180"/>
      <c r="BG55" s="180"/>
      <c r="BH55" s="180"/>
      <c r="BI55" s="166">
        <f t="shared" ca="1" si="69"/>
        <v>49.510333333333335</v>
      </c>
      <c r="BJ55" s="167">
        <f t="shared" ca="1" si="70"/>
        <v>24.755166666666668</v>
      </c>
      <c r="BK55" s="167">
        <f t="shared" ca="1" si="71"/>
        <v>24.755166666666668</v>
      </c>
      <c r="BL55" s="178"/>
      <c r="BM55" s="178"/>
      <c r="BN55" s="178"/>
      <c r="BO55" s="169">
        <f t="shared" ca="1" si="72"/>
        <v>60.580000000000005</v>
      </c>
      <c r="BP55" s="170">
        <f ca="1">INDEX('Cap based on indoor unit SZ'!$V$43:$V$58,MATCH(AE55,'Cap based on indoor unit SZ'!$U$43:$U$58))</f>
        <v>30.290000000000003</v>
      </c>
      <c r="BQ55" s="170">
        <f ca="1">INDEX('Cap based on indoor unit SZ'!$V$43:$V$58,MATCH(AF55,'Cap based on indoor unit SZ'!$U$43:$U$58))</f>
        <v>30.290000000000003</v>
      </c>
      <c r="BR55" s="179"/>
      <c r="BS55" s="179"/>
      <c r="BT55" s="179"/>
      <c r="BU55" s="175">
        <v>22000</v>
      </c>
      <c r="BV55" s="175">
        <v>22000</v>
      </c>
      <c r="BW55" s="179"/>
      <c r="BX55" s="179"/>
      <c r="BY55" s="179"/>
      <c r="BZ55" s="172">
        <f t="shared" ca="1" si="73"/>
        <v>49.510333333333335</v>
      </c>
      <c r="CA55" s="173">
        <f t="shared" ca="1" si="74"/>
        <v>24.755166666666668</v>
      </c>
      <c r="CB55" s="173">
        <f t="shared" ca="1" si="75"/>
        <v>24.755166666666668</v>
      </c>
      <c r="CC55" s="180"/>
      <c r="CD55" s="180"/>
      <c r="CE55" s="180"/>
      <c r="CF55" s="166">
        <f t="shared" ca="1" si="76"/>
        <v>31.870137984601513</v>
      </c>
      <c r="CG55" s="167">
        <f t="shared" ca="1" si="77"/>
        <v>15.935068992300756</v>
      </c>
      <c r="CH55" s="167">
        <f t="shared" ca="1" si="77"/>
        <v>15.935068992300756</v>
      </c>
      <c r="CI55" s="178"/>
      <c r="CJ55" s="178"/>
      <c r="CK55" s="178"/>
    </row>
    <row r="56" spans="2:89">
      <c r="B56" s="283">
        <v>30</v>
      </c>
      <c r="C56" s="284">
        <v>75.2</v>
      </c>
      <c r="D56" s="284">
        <v>62.6</v>
      </c>
      <c r="E56" s="8" t="s">
        <v>16</v>
      </c>
      <c r="F56" s="9">
        <v>26.65</v>
      </c>
      <c r="G56" s="9">
        <v>27.240000000000002</v>
      </c>
      <c r="H56" s="9">
        <v>27.2</v>
      </c>
      <c r="I56" s="9">
        <v>27.094999999999999</v>
      </c>
      <c r="J56" s="9">
        <v>27.155000000000001</v>
      </c>
      <c r="K56" s="9">
        <v>29.745000000000001</v>
      </c>
      <c r="L56" s="9">
        <v>32.725000000000001</v>
      </c>
      <c r="M56" s="9">
        <v>34.81</v>
      </c>
      <c r="N56" s="9">
        <v>33.72</v>
      </c>
      <c r="O56" s="9">
        <v>26.4</v>
      </c>
      <c r="P56" s="9">
        <v>25.2</v>
      </c>
      <c r="Q56" s="9">
        <v>23.08</v>
      </c>
      <c r="R56" s="6"/>
      <c r="AC56" s="164" t="s">
        <v>180</v>
      </c>
      <c r="AD56" s="164">
        <v>36</v>
      </c>
      <c r="AE56" s="165">
        <v>9</v>
      </c>
      <c r="AF56" s="165">
        <v>9</v>
      </c>
      <c r="AG56" s="165">
        <v>9</v>
      </c>
      <c r="AH56" s="164"/>
      <c r="AI56" s="164"/>
      <c r="AJ56" s="500">
        <v>3</v>
      </c>
      <c r="AK56" s="166">
        <f t="shared" ca="1" si="61"/>
        <v>31.389333333333333</v>
      </c>
      <c r="AL56" s="167">
        <f t="shared" ref="AL56:AL73" ca="1" si="78">IF((INDEX($AA$4:$AA$7,MATCH(INDOOR_1,$Z$4:$Z$7))*(INDEX($X$27:$X$46,MATCH($AD56,$W$27:$W$46,1))/(INDEX($AA$4:$AA$7,MATCH(INDOOR_1,$Z$4:$Z$7))+INDEX($AA$4:$AA$7,MATCH(INDOOR_2,$Z$4:$Z$7))+INDEX($AA$4:$AA$7,MATCH(INDOOR_3,$Z$4:$Z$7)))))
&gt;AR56,AR56,
(INDEX($AA$4:$AA$7,MATCH(INDOOR_1,$Z$4:$Z$7))*(INDEX($X$27:$X$46,MATCH($AD56,$W$27:$W$46,1))/(INDEX($AA$4:$AA$7,MATCH(INDOOR_1,$Z$4:$Z$7))+INDEX($AA$4:$AA$7,MATCH(INDOOR_2,$Z$4:$Z$7))+INDEX($AA$4:$AA$7,MATCH(INDOOR_3,$Z$4:$Z$7))))))</f>
        <v>10.463111111111111</v>
      </c>
      <c r="AM56" s="167">
        <f t="shared" ref="AM56:AM73" ca="1" si="79">IF((INDEX($AA$4:$AA$7,MATCH(INDOOR_2,$Z$4:$Z$7))*(INDEX($X$27:$X$46,MATCH($AD56,$W$27:$W$46,1))/(INDEX($AA$4:$AA$7,MATCH(INDOOR_1,$Z$4:$Z$7))+INDEX($AA$4:$AA$7,MATCH(INDOOR_2,$Z$4:$Z$7))+INDEX($AA$4:$AA$7,MATCH(INDOOR_3,$Z$4:$Z$7)))))
&gt;AS56,AS56,
(INDEX($AA$4:$AA$7,MATCH(INDOOR_2,$Z$4:$Z$7))*(INDEX($X$27:$X$46,MATCH($AD56,$W$27:$W$46,1))/(INDEX($AA$4:$AA$7,MATCH(INDOOR_1,$Z$4:$Z$7))+INDEX($AA$4:$AA$7,MATCH(INDOOR_2,$Z$4:$Z$7))+INDEX($AA$4:$AA$7,MATCH(INDOOR_3,$Z$4:$Z$7))))))</f>
        <v>10.463111111111111</v>
      </c>
      <c r="AN56" s="167">
        <f t="shared" ref="AN56:AN73" ca="1" si="80">IF((INDEX($AA$4:$AA$7,MATCH(INDOOR_3,$Z$4:$Z$7))*(INDEX($X$27:$X$46,MATCH($AD56,$W$27:$W$46,1))/(INDEX($AA$4:$AA$7,MATCH(INDOOR_1,$Z$4:$Z$7))+INDEX($AA$4:$AA$7,MATCH(INDOOR_2,$Z$4:$Z$7))+INDEX($AA$4:$AA$7,MATCH(INDOOR_3,$Z$4:$Z$7)))))
&gt;AT56,AT56,
(INDEX($AA$4:$AA$7,MATCH(INDOOR_3,$Z$4:$Z$7))*(INDEX($X$27:$X$46,MATCH($AD56,$W$27:$W$46,1))/(INDEX($AA$4:$AA$7,MATCH(INDOOR_1,$Z$4:$Z$7))+INDEX($AA$4:$AA$7,MATCH(INDOOR_2,$Z$4:$Z$7))+INDEX($AA$4:$AA$7,MATCH(INDOOR_3,$Z$4:$Z$7))))))</f>
        <v>10.463111111111111</v>
      </c>
      <c r="AO56" s="178"/>
      <c r="AP56" s="178"/>
      <c r="AQ56" s="169">
        <f t="shared" ca="1" si="64"/>
        <v>31.389333333333333</v>
      </c>
      <c r="AR56" s="170">
        <f ca="1">INDEX('Cap based on indoor unit SZ'!$J$6:$J$21,MATCH(AE56,'Cap based on indoor unit SZ'!$I$6:$I$21))</f>
        <v>10.463111111111111</v>
      </c>
      <c r="AS56" s="170">
        <f ca="1">INDEX('Cap based on indoor unit SZ'!$J$6:$J$21,MATCH(AF56,'Cap based on indoor unit SZ'!$I$6:$I$21))</f>
        <v>10.463111111111111</v>
      </c>
      <c r="AT56" s="170">
        <f ca="1">INDEX('Cap based on indoor unit SZ'!$J$6:$J$21,MATCH(AG56,'Cap based on indoor unit SZ'!$I$6:$I$21))</f>
        <v>10.463111111111111</v>
      </c>
      <c r="AU56" s="179"/>
      <c r="AV56" s="179"/>
      <c r="AW56" s="169">
        <f t="shared" si="65"/>
        <v>28.5</v>
      </c>
      <c r="AX56" s="170">
        <v>9.5</v>
      </c>
      <c r="AY56" s="170">
        <v>9.5</v>
      </c>
      <c r="AZ56" s="170">
        <v>9.5</v>
      </c>
      <c r="BA56" s="179"/>
      <c r="BB56" s="179"/>
      <c r="BC56" s="172">
        <f t="shared" ca="1" si="66"/>
        <v>39.961111111111109</v>
      </c>
      <c r="BD56" s="173">
        <f t="shared" ref="BD56:BF73" ca="1" si="81">(INDEX($AA$4:$AA$7,MATCH(AE56,$Z$4:$Z$7))*(INDEX($X$27:$X$46,MATCH($AD56,$W$27:$W$46,1))/(INDEX($AA$4:$AA$7,MATCH($AE56,$Z$4:$Z$7))+INDEX($AA$4:$AA$7,MATCH($AF56,$Z$4:$Z$7))+INDEX($AA$4:$AA$7,MATCH($AG56,$Z$4:$Z$7)))))</f>
        <v>13.32037037037037</v>
      </c>
      <c r="BE56" s="173">
        <f t="shared" ca="1" si="81"/>
        <v>13.32037037037037</v>
      </c>
      <c r="BF56" s="173">
        <f t="shared" ca="1" si="81"/>
        <v>13.32037037037037</v>
      </c>
      <c r="BG56" s="180"/>
      <c r="BH56" s="180"/>
      <c r="BI56" s="166">
        <f t="shared" ca="1" si="69"/>
        <v>35.868061538461532</v>
      </c>
      <c r="BJ56" s="167">
        <f t="shared" ref="BJ56:BJ73" ca="1" si="82">IF((INDEX($AA$4:$AA$7,MATCH(INDOOR_1,$Z$4:$Z$7))*(INDEX($X$118:$X$137,MATCH($AD56,$W$118:$W$137,1))/(INDEX($AA$4:$AA$7,MATCH(INDOOR_1,$Z$4:$Z$7))+INDEX($AA$4:$AA$7,MATCH(INDOOR_2,$Z$4:$Z$7))+INDEX($AA$4:$AA$7,MATCH(INDOOR_3,$Z$4:$Z$7)))))
&gt;BP56,BP56,
(INDEX($AA$4:$AA$7,MATCH(INDOOR_1,$Z$4:$Z$7))*(INDEX($X$118:$X$137,MATCH($AD56,$W$118:$W$137,1))/(INDEX($AA$4:$AA$7,MATCH(INDOOR_1,$Z$4:$Z$7))+INDEX($AA$4:$AA$7,MATCH(INDOOR_2,$Z$4:$Z$7))+INDEX($AA$4:$AA$7,MATCH(INDOOR_3,$Z$4:$Z$7))))))</f>
        <v>11.956020512820512</v>
      </c>
      <c r="BK56" s="167">
        <f t="shared" ref="BK56:BK73" ca="1" si="83">IF((INDEX($AA$4:$AA$7,MATCH(INDOOR_2,$Z$4:$Z$7))*(INDEX($X$118:$X$137,MATCH($AD56,$W$118:$W$137,1))/(INDEX($AA$4:$AA$7,MATCH(INDOOR_1,$Z$4:$Z$7))+INDEX($AA$4:$AA$7,MATCH(INDOOR_2,$Z$4:$Z$7))+INDEX($AA$4:$AA$7,MATCH(INDOOR_3,$Z$4:$Z$7)))))
&gt;BQ56,BQ56,
(INDEX($AA$4:$AA$7,MATCH(INDOOR_2,$Z$4:$Z$7))*(INDEX($X$118:$X$137,MATCH($AD56,$W$118:$W$137,1))/(INDEX($AA$4:$AA$7,MATCH(INDOOR_1,$Z$4:$Z$7))+INDEX($AA$4:$AA$7,MATCH(INDOOR_2,$Z$4:$Z$7))+INDEX($AA$4:$AA$7,MATCH(INDOOR_3,$Z$4:$Z$7))))))</f>
        <v>11.956020512820512</v>
      </c>
      <c r="BL56" s="167">
        <f t="shared" ref="BL56:BL73" ca="1" si="84">IF((INDEX($AA$4:$AA$7,MATCH(INDOOR_3,$Z$4:$Z$7))*(INDEX($X$118:$X$137,MATCH($AD56,$W$118:$W$137,1))/(INDEX($AA$4:$AA$7,MATCH(INDOOR_1,$Z$4:$Z$7))+INDEX($AA$4:$AA$7,MATCH(INDOOR_2,$Z$4:$Z$7))+INDEX($AA$4:$AA$7,MATCH(INDOOR_3,$Z$4:$Z$7)))))
&gt;BR56,BR56,
(INDEX($AA$4:$AA$7,MATCH(INDOOR_3,$Z$4:$Z$7))*(INDEX($X$118:$X$137,MATCH($AD56,$W$118:$W$137,1))/(INDEX($AA$4:$AA$7,MATCH(INDOOR_1,$Z$4:$Z$7))+INDEX($AA$4:$AA$7,MATCH(INDOOR_2,$Z$4:$Z$7))+INDEX($AA$4:$AA$7,MATCH(INDOOR_3,$Z$4:$Z$7))))))</f>
        <v>11.956020512820512</v>
      </c>
      <c r="BM56" s="178"/>
      <c r="BN56" s="178"/>
      <c r="BO56" s="169">
        <f t="shared" ca="1" si="72"/>
        <v>35.868061538461532</v>
      </c>
      <c r="BP56" s="170">
        <f ca="1">INDEX('Cap based on indoor unit SZ'!$V$43:$V$58,MATCH(AE56,'Cap based on indoor unit SZ'!$U$43:$U$58))</f>
        <v>11.956020512820512</v>
      </c>
      <c r="BQ56" s="170">
        <f ca="1">INDEX('Cap based on indoor unit SZ'!$V$43:$V$58,MATCH(AF56,'Cap based on indoor unit SZ'!$U$43:$U$58))</f>
        <v>11.956020512820512</v>
      </c>
      <c r="BR56" s="170">
        <f ca="1">INDEX('Cap based on indoor unit SZ'!$V$43:$V$58,MATCH(AG56,'Cap based on indoor unit SZ'!$U$43:$U$58))</f>
        <v>11.956020512820512</v>
      </c>
      <c r="BS56" s="179"/>
      <c r="BT56" s="179"/>
      <c r="BU56" s="175">
        <v>11000</v>
      </c>
      <c r="BV56" s="175">
        <v>11000</v>
      </c>
      <c r="BW56" s="175">
        <v>11000</v>
      </c>
      <c r="BX56" s="179"/>
      <c r="BY56" s="179"/>
      <c r="BZ56" s="172">
        <f t="shared" ca="1" si="73"/>
        <v>49.510333333333335</v>
      </c>
      <c r="CA56" s="173">
        <f t="shared" ref="CA56:CA73" ca="1" si="85">(INDEX($AA$4:$AA$7,MATCH(INDOOR_1,$Z$4:$Z$7))*(INDEX($X$118:$X$137,MATCH($AD56,$W$118:$W$137,1))/(INDEX($AA$4:$AA$7,MATCH(INDOOR_1,$Z$4:$Z$7))+INDEX($AA$4:$AA$7,MATCH(INDOOR_2,$Z$4:$Z$7))+INDEX($AA$4:$AA$7,MATCH(INDOOR_3,$Z$4:$Z$7)))))</f>
        <v>16.503444444444444</v>
      </c>
      <c r="CB56" s="173">
        <f t="shared" ref="CB56:CB73" ca="1" si="86">(INDEX($AA$4:$AA$7,MATCH(INDOOR_2,$Z$4:$Z$7))*(INDEX($X$118:$X$137,MATCH($AD56,$W$118:$W$137,1))/(INDEX($AA$4:$AA$7,MATCH(INDOOR_1,$Z$4:$Z$7))+INDEX($AA$4:$AA$7,MATCH(INDOOR_2,$Z$4:$Z$7))+INDEX($AA$4:$AA$7,MATCH(INDOOR_3,$Z$4:$Z$7)))))</f>
        <v>16.503444444444444</v>
      </c>
      <c r="CC56" s="173">
        <f t="shared" ref="CC56:CC73" ca="1" si="87">(INDEX($AA$4:$AA$7,MATCH(INDOOR_3,$Z$4:$Z$7))*(INDEX($X$118:$X$137,MATCH($AD56,$W$118:$W$137,1))/(INDEX($AA$4:$AA$7,MATCH(INDOOR_1,$Z$4:$Z$7))+INDEX($AA$4:$AA$7,MATCH(INDOOR_2,$Z$4:$Z$7))+INDEX($AA$4:$AA$7,MATCH(INDOOR_3,$Z$4:$Z$7)))))</f>
        <v>16.503444444444444</v>
      </c>
      <c r="CD56" s="180"/>
      <c r="CE56" s="180"/>
      <c r="CF56" s="166">
        <f t="shared" ca="1" si="76"/>
        <v>25.033898126517077</v>
      </c>
      <c r="CG56" s="167">
        <f t="shared" ca="1" si="77"/>
        <v>8.3446327088390255</v>
      </c>
      <c r="CH56" s="167">
        <f t="shared" ca="1" si="77"/>
        <v>8.3446327088390255</v>
      </c>
      <c r="CI56" s="167">
        <f t="shared" ca="1" si="77"/>
        <v>8.3446327088390255</v>
      </c>
      <c r="CJ56" s="178"/>
      <c r="CK56" s="178"/>
    </row>
    <row r="57" spans="2:89">
      <c r="B57" s="283">
        <v>30</v>
      </c>
      <c r="C57" s="284">
        <v>80.599999999999994</v>
      </c>
      <c r="D57" s="284">
        <v>66.2</v>
      </c>
      <c r="E57" s="8" t="s">
        <v>16</v>
      </c>
      <c r="F57" s="9">
        <v>28.314999999999998</v>
      </c>
      <c r="G57" s="9">
        <v>28.94</v>
      </c>
      <c r="H57" s="9">
        <v>29.024999999999999</v>
      </c>
      <c r="I57" s="9">
        <v>29.195</v>
      </c>
      <c r="J57" s="9">
        <v>29.115000000000002</v>
      </c>
      <c r="K57" s="9">
        <v>30.195</v>
      </c>
      <c r="L57" s="9">
        <v>31.314999999999998</v>
      </c>
      <c r="M57" s="9">
        <v>29.594999999999999</v>
      </c>
      <c r="N57" s="9">
        <v>28.83</v>
      </c>
      <c r="O57" s="9">
        <v>26.259999999999998</v>
      </c>
      <c r="P57" s="9">
        <v>28.119999999999997</v>
      </c>
      <c r="Q57" s="9">
        <v>25.155000000000001</v>
      </c>
      <c r="R57" s="6"/>
      <c r="AC57" s="164" t="s">
        <v>179</v>
      </c>
      <c r="AD57" s="164">
        <v>36</v>
      </c>
      <c r="AE57" s="165">
        <v>9</v>
      </c>
      <c r="AF57" s="165">
        <v>9</v>
      </c>
      <c r="AG57" s="165">
        <v>12</v>
      </c>
      <c r="AH57" s="164"/>
      <c r="AI57" s="164"/>
      <c r="AJ57" s="500"/>
      <c r="AK57" s="166">
        <f t="shared" ca="1" si="61"/>
        <v>34.005111111111113</v>
      </c>
      <c r="AL57" s="167">
        <f t="shared" ca="1" si="78"/>
        <v>10.463111111111111</v>
      </c>
      <c r="AM57" s="167">
        <f t="shared" ca="1" si="79"/>
        <v>10.463111111111111</v>
      </c>
      <c r="AN57" s="167">
        <f t="shared" ca="1" si="80"/>
        <v>13.078888888888891</v>
      </c>
      <c r="AO57" s="178"/>
      <c r="AP57" s="178"/>
      <c r="AQ57" s="169">
        <f t="shared" ca="1" si="64"/>
        <v>34.005111111111113</v>
      </c>
      <c r="AR57" s="170">
        <f ca="1">INDEX('Cap based on indoor unit SZ'!$J$6:$J$21,MATCH(AE57,'Cap based on indoor unit SZ'!$I$6:$I$21))</f>
        <v>10.463111111111111</v>
      </c>
      <c r="AS57" s="170">
        <f ca="1">INDEX('Cap based on indoor unit SZ'!$J$6:$J$21,MATCH(AF57,'Cap based on indoor unit SZ'!$I$6:$I$21))</f>
        <v>10.463111111111111</v>
      </c>
      <c r="AT57" s="170">
        <f ca="1">INDEX('Cap based on indoor unit SZ'!$J$6:$J$21,MATCH(AG57,'Cap based on indoor unit SZ'!$I$6:$I$21))</f>
        <v>13.078888888888891</v>
      </c>
      <c r="AU57" s="179"/>
      <c r="AV57" s="179"/>
      <c r="AW57" s="169">
        <f t="shared" si="65"/>
        <v>31</v>
      </c>
      <c r="AX57" s="170">
        <v>9.5</v>
      </c>
      <c r="AY57" s="170">
        <v>9.5</v>
      </c>
      <c r="AZ57" s="170">
        <v>12</v>
      </c>
      <c r="BA57" s="179"/>
      <c r="BB57" s="179"/>
      <c r="BC57" s="172">
        <f t="shared" ca="1" si="66"/>
        <v>39.961111111111109</v>
      </c>
      <c r="BD57" s="173">
        <f t="shared" ca="1" si="81"/>
        <v>11.988333333333333</v>
      </c>
      <c r="BE57" s="173">
        <f t="shared" ca="1" si="81"/>
        <v>11.988333333333333</v>
      </c>
      <c r="BF57" s="173">
        <f t="shared" ca="1" si="81"/>
        <v>15.984444444444444</v>
      </c>
      <c r="BG57" s="180"/>
      <c r="BH57" s="180"/>
      <c r="BI57" s="166">
        <f t="shared" ca="1" si="69"/>
        <v>38.857066666666668</v>
      </c>
      <c r="BJ57" s="167">
        <f t="shared" ca="1" si="82"/>
        <v>11.956020512820512</v>
      </c>
      <c r="BK57" s="167">
        <f t="shared" ca="1" si="83"/>
        <v>11.956020512820512</v>
      </c>
      <c r="BL57" s="167">
        <f t="shared" ca="1" si="84"/>
        <v>14.945025641025641</v>
      </c>
      <c r="BM57" s="178"/>
      <c r="BN57" s="178"/>
      <c r="BO57" s="169">
        <f t="shared" ca="1" si="72"/>
        <v>38.857066666666668</v>
      </c>
      <c r="BP57" s="170">
        <f ca="1">INDEX('Cap based on indoor unit SZ'!$V$43:$V$58,MATCH(AE57,'Cap based on indoor unit SZ'!$U$43:$U$58))</f>
        <v>11.956020512820512</v>
      </c>
      <c r="BQ57" s="170">
        <f ca="1">INDEX('Cap based on indoor unit SZ'!$V$43:$V$58,MATCH(AF57,'Cap based on indoor unit SZ'!$U$43:$U$58))</f>
        <v>11.956020512820512</v>
      </c>
      <c r="BR57" s="170">
        <f ca="1">INDEX('Cap based on indoor unit SZ'!$V$43:$V$58,MATCH(AG57,'Cap based on indoor unit SZ'!$U$43:$U$58))</f>
        <v>14.945025641025641</v>
      </c>
      <c r="BS57" s="179"/>
      <c r="BT57" s="179"/>
      <c r="BU57" s="175">
        <v>10500</v>
      </c>
      <c r="BV57" s="175">
        <v>10500</v>
      </c>
      <c r="BW57" s="175">
        <v>13000</v>
      </c>
      <c r="BX57" s="179"/>
      <c r="BY57" s="179"/>
      <c r="BZ57" s="172">
        <f t="shared" ca="1" si="73"/>
        <v>49.510333333333335</v>
      </c>
      <c r="CA57" s="173">
        <f t="shared" ca="1" si="85"/>
        <v>14.853100000000001</v>
      </c>
      <c r="CB57" s="173">
        <f t="shared" ca="1" si="86"/>
        <v>14.853100000000001</v>
      </c>
      <c r="CC57" s="173">
        <f t="shared" ca="1" si="87"/>
        <v>19.804133333333333</v>
      </c>
      <c r="CD57" s="180"/>
      <c r="CE57" s="180"/>
      <c r="CF57" s="166">
        <f t="shared" ca="1" si="76"/>
        <v>27.120056303726834</v>
      </c>
      <c r="CG57" s="167">
        <f t="shared" ca="1" si="77"/>
        <v>8.3446327088390255</v>
      </c>
      <c r="CH57" s="167">
        <f t="shared" ca="1" si="77"/>
        <v>8.3446327088390255</v>
      </c>
      <c r="CI57" s="167">
        <f t="shared" ca="1" si="77"/>
        <v>10.430790886048783</v>
      </c>
      <c r="CJ57" s="178"/>
      <c r="CK57" s="178"/>
    </row>
    <row r="58" spans="2:89">
      <c r="B58" s="283">
        <v>30</v>
      </c>
      <c r="C58" s="284">
        <v>89.6</v>
      </c>
      <c r="D58" s="284">
        <v>73.400000000000006</v>
      </c>
      <c r="E58" s="8" t="s">
        <v>16</v>
      </c>
      <c r="F58" s="9">
        <v>30.58</v>
      </c>
      <c r="G58" s="9">
        <v>31.255000000000003</v>
      </c>
      <c r="H58" s="9">
        <v>31.35</v>
      </c>
      <c r="I58" s="9">
        <v>31.675000000000001</v>
      </c>
      <c r="J58" s="9">
        <v>31.445</v>
      </c>
      <c r="K58" s="9">
        <v>33.704999999999998</v>
      </c>
      <c r="L58" s="9">
        <v>36.545000000000002</v>
      </c>
      <c r="M58" s="9">
        <v>37.795000000000002</v>
      </c>
      <c r="N58" s="9">
        <v>36.9</v>
      </c>
      <c r="O58" s="9">
        <v>30.54</v>
      </c>
      <c r="P58" s="9">
        <v>29.555</v>
      </c>
      <c r="Q58" s="9">
        <v>27.57</v>
      </c>
      <c r="R58" s="6"/>
      <c r="AC58" s="164" t="s">
        <v>178</v>
      </c>
      <c r="AD58" s="164">
        <v>36</v>
      </c>
      <c r="AE58" s="165">
        <v>9</v>
      </c>
      <c r="AF58" s="165">
        <v>9</v>
      </c>
      <c r="AG58" s="165">
        <v>18</v>
      </c>
      <c r="AH58" s="164"/>
      <c r="AI58" s="164"/>
      <c r="AJ58" s="500"/>
      <c r="AK58" s="166">
        <f t="shared" ca="1" si="61"/>
        <v>39.801666666666662</v>
      </c>
      <c r="AL58" s="167">
        <f t="shared" ca="1" si="78"/>
        <v>9.9902777777777771</v>
      </c>
      <c r="AM58" s="167">
        <f t="shared" ca="1" si="79"/>
        <v>9.9902777777777771</v>
      </c>
      <c r="AN58" s="167">
        <f t="shared" ca="1" si="80"/>
        <v>19.821111111111112</v>
      </c>
      <c r="AO58" s="178"/>
      <c r="AP58" s="178"/>
      <c r="AQ58" s="169">
        <f t="shared" ca="1" si="64"/>
        <v>40.74733333333333</v>
      </c>
      <c r="AR58" s="170">
        <f ca="1">INDEX('Cap based on indoor unit SZ'!$J$6:$J$21,MATCH(AE58,'Cap based on indoor unit SZ'!$I$6:$I$21))</f>
        <v>10.463111111111111</v>
      </c>
      <c r="AS58" s="170">
        <f ca="1">INDEX('Cap based on indoor unit SZ'!$J$6:$J$21,MATCH(AF58,'Cap based on indoor unit SZ'!$I$6:$I$21))</f>
        <v>10.463111111111111</v>
      </c>
      <c r="AT58" s="170">
        <f ca="1">INDEX('Cap based on indoor unit SZ'!$J$6:$J$21,MATCH(AG58,'Cap based on indoor unit SZ'!$I$6:$I$21))</f>
        <v>19.821111111111112</v>
      </c>
      <c r="AU58" s="179"/>
      <c r="AV58" s="179"/>
      <c r="AW58" s="169">
        <f t="shared" si="65"/>
        <v>37</v>
      </c>
      <c r="AX58" s="170">
        <v>9.5</v>
      </c>
      <c r="AY58" s="170">
        <v>9.5</v>
      </c>
      <c r="AZ58" s="170">
        <v>18</v>
      </c>
      <c r="BA58" s="179"/>
      <c r="BB58" s="179"/>
      <c r="BC58" s="172">
        <f t="shared" ca="1" si="66"/>
        <v>39.961111111111109</v>
      </c>
      <c r="BD58" s="173">
        <f t="shared" ca="1" si="81"/>
        <v>9.9902777777777771</v>
      </c>
      <c r="BE58" s="173">
        <f t="shared" ca="1" si="81"/>
        <v>9.9902777777777771</v>
      </c>
      <c r="BF58" s="173">
        <f t="shared" ca="1" si="81"/>
        <v>19.980555555555554</v>
      </c>
      <c r="BG58" s="180"/>
      <c r="BH58" s="180"/>
      <c r="BI58" s="166">
        <f t="shared" ca="1" si="69"/>
        <v>48.51086153846154</v>
      </c>
      <c r="BJ58" s="167">
        <f t="shared" ca="1" si="82"/>
        <v>11.956020512820512</v>
      </c>
      <c r="BK58" s="167">
        <f t="shared" ca="1" si="83"/>
        <v>11.956020512820512</v>
      </c>
      <c r="BL58" s="167">
        <f t="shared" ca="1" si="84"/>
        <v>24.598820512820513</v>
      </c>
      <c r="BM58" s="178"/>
      <c r="BN58" s="178"/>
      <c r="BO58" s="169">
        <f t="shared" ca="1" si="72"/>
        <v>48.51086153846154</v>
      </c>
      <c r="BP58" s="170">
        <f ca="1">INDEX('Cap based on indoor unit SZ'!$V$43:$V$58,MATCH(AE58,'Cap based on indoor unit SZ'!$U$43:$U$58))</f>
        <v>11.956020512820512</v>
      </c>
      <c r="BQ58" s="170">
        <f ca="1">INDEX('Cap based on indoor unit SZ'!$V$43:$V$58,MATCH(AF58,'Cap based on indoor unit SZ'!$U$43:$U$58))</f>
        <v>11.956020512820512</v>
      </c>
      <c r="BR58" s="170">
        <f ca="1">INDEX('Cap based on indoor unit SZ'!$V$43:$V$58,MATCH(AG58,'Cap based on indoor unit SZ'!$U$43:$U$58))</f>
        <v>24.598820512820513</v>
      </c>
      <c r="BS58" s="179"/>
      <c r="BT58" s="179"/>
      <c r="BU58" s="175">
        <v>10000</v>
      </c>
      <c r="BV58" s="175">
        <v>10000</v>
      </c>
      <c r="BW58" s="175">
        <v>19000</v>
      </c>
      <c r="BX58" s="179"/>
      <c r="BY58" s="179"/>
      <c r="BZ58" s="172">
        <f t="shared" ca="1" si="73"/>
        <v>49.510333333333335</v>
      </c>
      <c r="CA58" s="173">
        <f t="shared" ca="1" si="85"/>
        <v>12.377583333333334</v>
      </c>
      <c r="CB58" s="173">
        <f t="shared" ca="1" si="86"/>
        <v>12.377583333333334</v>
      </c>
      <c r="CC58" s="173">
        <f t="shared" ca="1" si="87"/>
        <v>24.755166666666668</v>
      </c>
      <c r="CD58" s="180"/>
      <c r="CE58" s="180"/>
      <c r="CF58" s="166">
        <f t="shared" ca="1" si="76"/>
        <v>31.742976444193054</v>
      </c>
      <c r="CG58" s="167">
        <f t="shared" ca="1" si="77"/>
        <v>7.9675344961503782</v>
      </c>
      <c r="CH58" s="167">
        <f t="shared" ca="1" si="77"/>
        <v>7.9675344961503782</v>
      </c>
      <c r="CI58" s="167">
        <f t="shared" ca="1" si="77"/>
        <v>15.807907451892296</v>
      </c>
      <c r="CJ58" s="178"/>
      <c r="CK58" s="178"/>
    </row>
    <row r="59" spans="2:89">
      <c r="B59" s="283">
        <v>36</v>
      </c>
      <c r="C59" s="284">
        <v>69.8</v>
      </c>
      <c r="D59" s="284">
        <v>59</v>
      </c>
      <c r="E59" s="8" t="s">
        <v>16</v>
      </c>
      <c r="F59" s="9">
        <v>25.795000000000002</v>
      </c>
      <c r="G59" s="9">
        <v>26.365000000000002</v>
      </c>
      <c r="H59" s="9">
        <v>26.064999999999998</v>
      </c>
      <c r="I59" s="9">
        <v>26.54</v>
      </c>
      <c r="J59" s="9">
        <v>27.204999999999998</v>
      </c>
      <c r="K59" s="9">
        <v>28.52</v>
      </c>
      <c r="L59" s="9">
        <v>30.425000000000001</v>
      </c>
      <c r="M59" s="9">
        <v>28.490000000000002</v>
      </c>
      <c r="N59" s="9">
        <v>27.259999999999998</v>
      </c>
      <c r="O59" s="9">
        <v>23.795000000000002</v>
      </c>
      <c r="P59" s="9">
        <v>23.810000000000002</v>
      </c>
      <c r="Q59" s="9">
        <v>22.204999999999998</v>
      </c>
      <c r="R59" s="6"/>
      <c r="AC59" s="164" t="s">
        <v>177</v>
      </c>
      <c r="AD59" s="164">
        <v>36</v>
      </c>
      <c r="AE59" s="165">
        <v>9</v>
      </c>
      <c r="AF59" s="165">
        <v>9</v>
      </c>
      <c r="AG59" s="165">
        <v>24</v>
      </c>
      <c r="AH59" s="164"/>
      <c r="AI59" s="164"/>
      <c r="AJ59" s="501"/>
      <c r="AK59" s="166">
        <f t="shared" ca="1" si="61"/>
        <v>39.961111111111109</v>
      </c>
      <c r="AL59" s="167">
        <f t="shared" ca="1" si="78"/>
        <v>8.5630952380952383</v>
      </c>
      <c r="AM59" s="167">
        <f t="shared" ca="1" si="79"/>
        <v>8.5630952380952383</v>
      </c>
      <c r="AN59" s="167">
        <f t="shared" ca="1" si="80"/>
        <v>22.834920634920636</v>
      </c>
      <c r="AO59" s="178"/>
      <c r="AP59" s="178"/>
      <c r="AQ59" s="169">
        <f t="shared" ca="1" si="64"/>
        <v>45.37844444444444</v>
      </c>
      <c r="AR59" s="170">
        <f ca="1">INDEX('Cap based on indoor unit SZ'!$J$6:$J$21,MATCH(AE59,'Cap based on indoor unit SZ'!$I$6:$I$21))</f>
        <v>10.463111111111111</v>
      </c>
      <c r="AS59" s="170">
        <f ca="1">INDEX('Cap based on indoor unit SZ'!$J$6:$J$21,MATCH(AF59,'Cap based on indoor unit SZ'!$I$6:$I$21))</f>
        <v>10.463111111111111</v>
      </c>
      <c r="AT59" s="170">
        <f ca="1">INDEX('Cap based on indoor unit SZ'!$J$6:$J$21,MATCH(AG59,'Cap based on indoor unit SZ'!$I$6:$I$21))</f>
        <v>24.452222222222218</v>
      </c>
      <c r="AU59" s="179"/>
      <c r="AV59" s="179"/>
      <c r="AW59" s="169">
        <f t="shared" si="65"/>
        <v>40.5</v>
      </c>
      <c r="AX59" s="170">
        <v>9</v>
      </c>
      <c r="AY59" s="170">
        <v>9</v>
      </c>
      <c r="AZ59" s="170">
        <v>22.5</v>
      </c>
      <c r="BA59" s="179"/>
      <c r="BB59" s="179"/>
      <c r="BC59" s="172">
        <f t="shared" ca="1" si="66"/>
        <v>39.961111111111109</v>
      </c>
      <c r="BD59" s="173">
        <f t="shared" ca="1" si="81"/>
        <v>8.5630952380952383</v>
      </c>
      <c r="BE59" s="173">
        <f t="shared" ca="1" si="81"/>
        <v>8.5630952380952383</v>
      </c>
      <c r="BF59" s="173">
        <f t="shared" ca="1" si="81"/>
        <v>22.834920634920636</v>
      </c>
      <c r="BG59" s="180"/>
      <c r="BH59" s="180"/>
      <c r="BI59" s="166">
        <f t="shared" ca="1" si="69"/>
        <v>49.510333333333335</v>
      </c>
      <c r="BJ59" s="167">
        <f t="shared" ca="1" si="82"/>
        <v>10.609357142857144</v>
      </c>
      <c r="BK59" s="167">
        <f t="shared" ca="1" si="83"/>
        <v>10.609357142857144</v>
      </c>
      <c r="BL59" s="167">
        <f t="shared" ca="1" si="84"/>
        <v>28.291619047619051</v>
      </c>
      <c r="BM59" s="178"/>
      <c r="BN59" s="178"/>
      <c r="BO59" s="169">
        <f t="shared" ca="1" si="72"/>
        <v>54.202041025641023</v>
      </c>
      <c r="BP59" s="170">
        <f ca="1">INDEX('Cap based on indoor unit SZ'!$V$43:$V$58,MATCH(AE59,'Cap based on indoor unit SZ'!$U$43:$U$58))</f>
        <v>11.956020512820512</v>
      </c>
      <c r="BQ59" s="170">
        <f ca="1">INDEX('Cap based on indoor unit SZ'!$V$43:$V$58,MATCH(AF59,'Cap based on indoor unit SZ'!$U$43:$U$58))</f>
        <v>11.956020512820512</v>
      </c>
      <c r="BR59" s="170">
        <f ca="1">INDEX('Cap based on indoor unit SZ'!$V$43:$V$58,MATCH(AG59,'Cap based on indoor unit SZ'!$U$43:$U$58))</f>
        <v>30.290000000000003</v>
      </c>
      <c r="BS59" s="179"/>
      <c r="BT59" s="179"/>
      <c r="BU59" s="175">
        <v>9500</v>
      </c>
      <c r="BV59" s="175">
        <v>9500</v>
      </c>
      <c r="BW59" s="175">
        <v>23500</v>
      </c>
      <c r="BX59" s="179"/>
      <c r="BY59" s="179"/>
      <c r="BZ59" s="172">
        <f t="shared" ca="1" si="73"/>
        <v>49.510333333333335</v>
      </c>
      <c r="CA59" s="173">
        <f t="shared" ca="1" si="85"/>
        <v>10.609357142857144</v>
      </c>
      <c r="CB59" s="173">
        <f t="shared" ca="1" si="86"/>
        <v>10.609357142857144</v>
      </c>
      <c r="CC59" s="173">
        <f t="shared" ca="1" si="87"/>
        <v>28.291619047619051</v>
      </c>
      <c r="CD59" s="180"/>
      <c r="CE59" s="180"/>
      <c r="CF59" s="166">
        <f t="shared" ca="1" si="76"/>
        <v>31.87013798460152</v>
      </c>
      <c r="CG59" s="167">
        <f t="shared" ca="1" si="77"/>
        <v>6.8293152824146111</v>
      </c>
      <c r="CH59" s="167">
        <f t="shared" ca="1" si="77"/>
        <v>6.8293152824146111</v>
      </c>
      <c r="CI59" s="167">
        <f t="shared" ca="1" si="77"/>
        <v>18.211507419772296</v>
      </c>
      <c r="CJ59" s="178"/>
      <c r="CK59" s="178"/>
    </row>
    <row r="60" spans="2:89">
      <c r="B60" s="283">
        <v>36</v>
      </c>
      <c r="C60" s="284">
        <v>75.2</v>
      </c>
      <c r="D60" s="284">
        <v>62.6</v>
      </c>
      <c r="E60" s="8" t="s">
        <v>16</v>
      </c>
      <c r="F60" s="9">
        <v>27.78</v>
      </c>
      <c r="G60" s="9">
        <v>28.39</v>
      </c>
      <c r="H60" s="9">
        <v>28.064999999999998</v>
      </c>
      <c r="I60" s="9">
        <v>28.574999999999999</v>
      </c>
      <c r="J60" s="9">
        <v>28.865000000000002</v>
      </c>
      <c r="K60" s="9">
        <v>31.484999999999999</v>
      </c>
      <c r="L60" s="9">
        <v>34.734999999999999</v>
      </c>
      <c r="M60" s="9">
        <v>33.505000000000003</v>
      </c>
      <c r="N60" s="9">
        <v>31.565000000000001</v>
      </c>
      <c r="O60" s="9">
        <v>26.6</v>
      </c>
      <c r="P60" s="9">
        <v>26.17</v>
      </c>
      <c r="Q60" s="9">
        <v>24.23</v>
      </c>
      <c r="R60" s="6"/>
      <c r="AC60" s="164" t="s">
        <v>176</v>
      </c>
      <c r="AD60" s="164">
        <v>36</v>
      </c>
      <c r="AE60" s="165">
        <v>9</v>
      </c>
      <c r="AF60" s="165">
        <v>12</v>
      </c>
      <c r="AG60" s="165">
        <v>12</v>
      </c>
      <c r="AH60" s="164"/>
      <c r="AI60" s="164"/>
      <c r="AJ60" s="501"/>
      <c r="AK60" s="166">
        <f t="shared" ca="1" si="61"/>
        <v>36.620888888888892</v>
      </c>
      <c r="AL60" s="167">
        <f t="shared" ca="1" si="78"/>
        <v>10.463111111111111</v>
      </c>
      <c r="AM60" s="167">
        <f t="shared" ca="1" si="79"/>
        <v>13.078888888888891</v>
      </c>
      <c r="AN60" s="167">
        <f t="shared" ca="1" si="80"/>
        <v>13.078888888888891</v>
      </c>
      <c r="AO60" s="178"/>
      <c r="AP60" s="178"/>
      <c r="AQ60" s="169">
        <f t="shared" ca="1" si="64"/>
        <v>36.620888888888892</v>
      </c>
      <c r="AR60" s="170">
        <f ca="1">INDEX('Cap based on indoor unit SZ'!$J$6:$J$21,MATCH(AE60,'Cap based on indoor unit SZ'!$I$6:$I$21))</f>
        <v>10.463111111111111</v>
      </c>
      <c r="AS60" s="170">
        <f ca="1">INDEX('Cap based on indoor unit SZ'!$J$6:$J$21,MATCH(AF60,'Cap based on indoor unit SZ'!$I$6:$I$21))</f>
        <v>13.078888888888891</v>
      </c>
      <c r="AT60" s="170">
        <f ca="1">INDEX('Cap based on indoor unit SZ'!$J$6:$J$21,MATCH(AG60,'Cap based on indoor unit SZ'!$I$6:$I$21))</f>
        <v>13.078888888888891</v>
      </c>
      <c r="AU60" s="179"/>
      <c r="AV60" s="179"/>
      <c r="AW60" s="169">
        <f t="shared" si="65"/>
        <v>34.5</v>
      </c>
      <c r="AX60" s="170">
        <v>9.5</v>
      </c>
      <c r="AY60" s="170">
        <v>12.5</v>
      </c>
      <c r="AZ60" s="170">
        <v>12.5</v>
      </c>
      <c r="BA60" s="179"/>
      <c r="BB60" s="179"/>
      <c r="BC60" s="172">
        <f t="shared" ca="1" si="66"/>
        <v>39.961111111111116</v>
      </c>
      <c r="BD60" s="173">
        <f t="shared" ca="1" si="81"/>
        <v>10.89848484848485</v>
      </c>
      <c r="BE60" s="173">
        <f t="shared" ca="1" si="81"/>
        <v>14.531313131313134</v>
      </c>
      <c r="BF60" s="173">
        <f t="shared" ca="1" si="81"/>
        <v>14.531313131313134</v>
      </c>
      <c r="BG60" s="180"/>
      <c r="BH60" s="180"/>
      <c r="BI60" s="166">
        <f t="shared" ca="1" si="69"/>
        <v>41.84607179487179</v>
      </c>
      <c r="BJ60" s="167">
        <f t="shared" ca="1" si="82"/>
        <v>11.956020512820512</v>
      </c>
      <c r="BK60" s="167">
        <f t="shared" ca="1" si="83"/>
        <v>14.945025641025641</v>
      </c>
      <c r="BL60" s="167">
        <f t="shared" ca="1" si="84"/>
        <v>14.945025641025641</v>
      </c>
      <c r="BM60" s="178"/>
      <c r="BN60" s="178"/>
      <c r="BO60" s="169">
        <f t="shared" ca="1" si="72"/>
        <v>41.84607179487179</v>
      </c>
      <c r="BP60" s="170">
        <f ca="1">INDEX('Cap based on indoor unit SZ'!$V$43:$V$58,MATCH(AE60,'Cap based on indoor unit SZ'!$U$43:$U$58))</f>
        <v>11.956020512820512</v>
      </c>
      <c r="BQ60" s="170">
        <f ca="1">INDEX('Cap based on indoor unit SZ'!$V$43:$V$58,MATCH(AF60,'Cap based on indoor unit SZ'!$U$43:$U$58))</f>
        <v>14.945025641025641</v>
      </c>
      <c r="BR60" s="170">
        <f ca="1">INDEX('Cap based on indoor unit SZ'!$V$43:$V$58,MATCH(AG60,'Cap based on indoor unit SZ'!$U$43:$U$58))</f>
        <v>14.945025641025641</v>
      </c>
      <c r="BS60" s="179"/>
      <c r="BT60" s="179"/>
      <c r="BU60" s="175">
        <v>10000</v>
      </c>
      <c r="BV60" s="175">
        <v>12500</v>
      </c>
      <c r="BW60" s="175">
        <v>12500</v>
      </c>
      <c r="BX60" s="179"/>
      <c r="BY60" s="179"/>
      <c r="BZ60" s="172">
        <f t="shared" ca="1" si="73"/>
        <v>49.510333333333342</v>
      </c>
      <c r="CA60" s="173">
        <f t="shared" ca="1" si="85"/>
        <v>13.502818181818185</v>
      </c>
      <c r="CB60" s="173">
        <f t="shared" ca="1" si="86"/>
        <v>18.003757575757579</v>
      </c>
      <c r="CC60" s="173">
        <f t="shared" ca="1" si="87"/>
        <v>18.003757575757579</v>
      </c>
      <c r="CD60" s="180"/>
      <c r="CE60" s="180"/>
      <c r="CF60" s="166">
        <f t="shared" ca="1" si="76"/>
        <v>29.206214480936591</v>
      </c>
      <c r="CG60" s="167">
        <f t="shared" ca="1" si="77"/>
        <v>8.3446327088390255</v>
      </c>
      <c r="CH60" s="167">
        <f t="shared" ca="1" si="77"/>
        <v>10.430790886048783</v>
      </c>
      <c r="CI60" s="167">
        <f t="shared" ca="1" si="77"/>
        <v>10.430790886048783</v>
      </c>
      <c r="CJ60" s="178"/>
      <c r="CK60" s="178"/>
    </row>
    <row r="61" spans="2:89">
      <c r="B61" s="283">
        <v>36</v>
      </c>
      <c r="C61" s="284">
        <v>80.599999999999994</v>
      </c>
      <c r="D61" s="284">
        <v>66.2</v>
      </c>
      <c r="E61" s="8" t="s">
        <v>16</v>
      </c>
      <c r="F61" s="9">
        <v>29.174999999999997</v>
      </c>
      <c r="G61" s="9">
        <v>29.82</v>
      </c>
      <c r="H61" s="9">
        <v>29.6</v>
      </c>
      <c r="I61" s="9">
        <v>30.175000000000001</v>
      </c>
      <c r="J61" s="9">
        <v>30.435000000000002</v>
      </c>
      <c r="K61" s="9">
        <v>31.895000000000003</v>
      </c>
      <c r="L61" s="9">
        <v>33.445</v>
      </c>
      <c r="M61" s="9">
        <v>32.484999999999999</v>
      </c>
      <c r="N61" s="9">
        <v>31.854999999999997</v>
      </c>
      <c r="O61" s="9">
        <v>28.39</v>
      </c>
      <c r="P61" s="9">
        <v>30.305</v>
      </c>
      <c r="Q61" s="9">
        <v>26.245000000000001</v>
      </c>
      <c r="R61" s="6"/>
      <c r="AC61" s="164" t="s">
        <v>175</v>
      </c>
      <c r="AD61" s="164">
        <v>36</v>
      </c>
      <c r="AE61" s="165">
        <v>9</v>
      </c>
      <c r="AF61" s="165">
        <v>12</v>
      </c>
      <c r="AG61" s="165">
        <v>18</v>
      </c>
      <c r="AH61" s="164"/>
      <c r="AI61" s="164"/>
      <c r="AJ61" s="501"/>
      <c r="AK61" s="166">
        <f t="shared" ca="1" si="61"/>
        <v>39.961111111111109</v>
      </c>
      <c r="AL61" s="167">
        <f t="shared" ca="1" si="78"/>
        <v>9.2217948717948719</v>
      </c>
      <c r="AM61" s="167">
        <f t="shared" ca="1" si="79"/>
        <v>12.295726495726495</v>
      </c>
      <c r="AN61" s="167">
        <f t="shared" ca="1" si="80"/>
        <v>18.443589743589744</v>
      </c>
      <c r="AO61" s="178"/>
      <c r="AP61" s="178"/>
      <c r="AQ61" s="169">
        <f t="shared" ca="1" si="64"/>
        <v>43.36311111111111</v>
      </c>
      <c r="AR61" s="170">
        <f ca="1">INDEX('Cap based on indoor unit SZ'!$J$6:$J$21,MATCH(AE61,'Cap based on indoor unit SZ'!$I$6:$I$21))</f>
        <v>10.463111111111111</v>
      </c>
      <c r="AS61" s="170">
        <f ca="1">INDEX('Cap based on indoor unit SZ'!$J$6:$J$21,MATCH(AF61,'Cap based on indoor unit SZ'!$I$6:$I$21))</f>
        <v>13.078888888888891</v>
      </c>
      <c r="AT61" s="170">
        <f ca="1">INDEX('Cap based on indoor unit SZ'!$J$6:$J$21,MATCH(AG61,'Cap based on indoor unit SZ'!$I$6:$I$21))</f>
        <v>19.821111111111112</v>
      </c>
      <c r="AU61" s="179"/>
      <c r="AV61" s="179"/>
      <c r="AW61" s="169">
        <f t="shared" si="65"/>
        <v>39</v>
      </c>
      <c r="AX61" s="170">
        <v>9</v>
      </c>
      <c r="AY61" s="170">
        <v>12</v>
      </c>
      <c r="AZ61" s="170">
        <v>18</v>
      </c>
      <c r="BA61" s="179"/>
      <c r="BB61" s="179"/>
      <c r="BC61" s="172">
        <f t="shared" ca="1" si="66"/>
        <v>39.961111111111109</v>
      </c>
      <c r="BD61" s="173">
        <f t="shared" ca="1" si="81"/>
        <v>9.2217948717948719</v>
      </c>
      <c r="BE61" s="173">
        <f t="shared" ca="1" si="81"/>
        <v>12.295726495726495</v>
      </c>
      <c r="BF61" s="173">
        <f t="shared" ca="1" si="81"/>
        <v>18.443589743589744</v>
      </c>
      <c r="BG61" s="180"/>
      <c r="BH61" s="180"/>
      <c r="BI61" s="166">
        <f t="shared" ca="1" si="69"/>
        <v>49.221410256410266</v>
      </c>
      <c r="BJ61" s="167">
        <f t="shared" ca="1" si="82"/>
        <v>11.425461538461541</v>
      </c>
      <c r="BK61" s="167">
        <f t="shared" ca="1" si="83"/>
        <v>14.945025641025641</v>
      </c>
      <c r="BL61" s="167">
        <f t="shared" ca="1" si="84"/>
        <v>22.850923076923081</v>
      </c>
      <c r="BM61" s="178"/>
      <c r="BN61" s="178"/>
      <c r="BO61" s="169">
        <f t="shared" ca="1" si="72"/>
        <v>51.499866666666662</v>
      </c>
      <c r="BP61" s="170">
        <f ca="1">INDEX('Cap based on indoor unit SZ'!$V$43:$V$58,MATCH(AE61,'Cap based on indoor unit SZ'!$U$43:$U$58))</f>
        <v>11.956020512820512</v>
      </c>
      <c r="BQ61" s="170">
        <f ca="1">INDEX('Cap based on indoor unit SZ'!$V$43:$V$58,MATCH(AF61,'Cap based on indoor unit SZ'!$U$43:$U$58))</f>
        <v>14.945025641025641</v>
      </c>
      <c r="BR61" s="170">
        <f ca="1">INDEX('Cap based on indoor unit SZ'!$V$43:$V$58,MATCH(AG61,'Cap based on indoor unit SZ'!$U$43:$U$58))</f>
        <v>24.598820512820513</v>
      </c>
      <c r="BS61" s="179"/>
      <c r="BT61" s="179"/>
      <c r="BU61" s="175">
        <v>9500</v>
      </c>
      <c r="BV61" s="175">
        <v>12500</v>
      </c>
      <c r="BW61" s="175">
        <v>18000</v>
      </c>
      <c r="BX61" s="179"/>
      <c r="BY61" s="179"/>
      <c r="BZ61" s="172">
        <f t="shared" ca="1" si="73"/>
        <v>49.510333333333342</v>
      </c>
      <c r="CA61" s="173">
        <f t="shared" ca="1" si="85"/>
        <v>11.425461538461541</v>
      </c>
      <c r="CB61" s="173">
        <f t="shared" ca="1" si="86"/>
        <v>15.233948717948721</v>
      </c>
      <c r="CC61" s="173">
        <f t="shared" ca="1" si="87"/>
        <v>22.850923076923081</v>
      </c>
      <c r="CD61" s="180"/>
      <c r="CE61" s="180"/>
      <c r="CF61" s="166">
        <f t="shared" ca="1" si="76"/>
        <v>31.870137984601516</v>
      </c>
      <c r="CG61" s="167">
        <f t="shared" ca="1" si="77"/>
        <v>7.3546472272157342</v>
      </c>
      <c r="CH61" s="167">
        <f t="shared" ca="1" si="77"/>
        <v>9.8061963029543122</v>
      </c>
      <c r="CI61" s="167">
        <f t="shared" ca="1" si="77"/>
        <v>14.709294454431468</v>
      </c>
      <c r="CJ61" s="178"/>
      <c r="CK61" s="178"/>
    </row>
    <row r="62" spans="2:89">
      <c r="B62" s="283">
        <v>36</v>
      </c>
      <c r="C62" s="284">
        <v>89.6</v>
      </c>
      <c r="D62" s="284">
        <v>73.400000000000006</v>
      </c>
      <c r="E62" s="8" t="s">
        <v>16</v>
      </c>
      <c r="F62" s="9">
        <v>31.934999999999999</v>
      </c>
      <c r="G62" s="9">
        <v>32.64</v>
      </c>
      <c r="H62" s="9">
        <v>32.394999999999996</v>
      </c>
      <c r="I62" s="9">
        <v>33.025000000000006</v>
      </c>
      <c r="J62" s="9">
        <v>33.314999999999998</v>
      </c>
      <c r="K62" s="9">
        <v>35.795000000000002</v>
      </c>
      <c r="L62" s="9">
        <v>39.405000000000001</v>
      </c>
      <c r="M62" s="9">
        <v>39.585000000000001</v>
      </c>
      <c r="N62" s="9">
        <v>38.83</v>
      </c>
      <c r="O62" s="9">
        <v>33.47</v>
      </c>
      <c r="P62" s="9">
        <v>32.344999999999999</v>
      </c>
      <c r="Q62" s="9">
        <v>28.265000000000001</v>
      </c>
      <c r="R62" s="6"/>
      <c r="AC62" s="164" t="s">
        <v>174</v>
      </c>
      <c r="AD62" s="164">
        <v>36</v>
      </c>
      <c r="AE62" s="165">
        <v>9</v>
      </c>
      <c r="AF62" s="165">
        <v>12</v>
      </c>
      <c r="AG62" s="165">
        <v>24</v>
      </c>
      <c r="AH62" s="164"/>
      <c r="AI62" s="164"/>
      <c r="AJ62" s="501"/>
      <c r="AK62" s="166">
        <f t="shared" ca="1" si="61"/>
        <v>39.961111111111109</v>
      </c>
      <c r="AL62" s="167">
        <f t="shared" ca="1" si="78"/>
        <v>7.9922222222222219</v>
      </c>
      <c r="AM62" s="167">
        <f t="shared" ca="1" si="79"/>
        <v>10.656296296296295</v>
      </c>
      <c r="AN62" s="167">
        <f t="shared" ca="1" si="80"/>
        <v>21.312592592592591</v>
      </c>
      <c r="AO62" s="178"/>
      <c r="AP62" s="178"/>
      <c r="AQ62" s="169">
        <f t="shared" ca="1" si="64"/>
        <v>47.99422222222222</v>
      </c>
      <c r="AR62" s="170">
        <f ca="1">INDEX('Cap based on indoor unit SZ'!$J$6:$J$21,MATCH(AE62,'Cap based on indoor unit SZ'!$I$6:$I$21))</f>
        <v>10.463111111111111</v>
      </c>
      <c r="AS62" s="170">
        <f ca="1">INDEX('Cap based on indoor unit SZ'!$J$6:$J$21,MATCH(AF62,'Cap based on indoor unit SZ'!$I$6:$I$21))</f>
        <v>13.078888888888891</v>
      </c>
      <c r="AT62" s="170">
        <f ca="1">INDEX('Cap based on indoor unit SZ'!$J$6:$J$21,MATCH(AG62,'Cap based on indoor unit SZ'!$I$6:$I$21))</f>
        <v>24.452222222222218</v>
      </c>
      <c r="AU62" s="179"/>
      <c r="AV62" s="179"/>
      <c r="AW62" s="169">
        <f t="shared" si="65"/>
        <v>42.5</v>
      </c>
      <c r="AX62" s="170">
        <v>9</v>
      </c>
      <c r="AY62" s="170">
        <v>12</v>
      </c>
      <c r="AZ62" s="170">
        <v>21.5</v>
      </c>
      <c r="BA62" s="179"/>
      <c r="BB62" s="179"/>
      <c r="BC62" s="172">
        <f t="shared" ca="1" si="66"/>
        <v>39.961111111111109</v>
      </c>
      <c r="BD62" s="173">
        <f t="shared" ca="1" si="81"/>
        <v>7.9922222222222219</v>
      </c>
      <c r="BE62" s="173">
        <f t="shared" ca="1" si="81"/>
        <v>10.656296296296295</v>
      </c>
      <c r="BF62" s="173">
        <f t="shared" ca="1" si="81"/>
        <v>21.312592592592591</v>
      </c>
      <c r="BG62" s="180"/>
      <c r="BH62" s="180"/>
      <c r="BI62" s="166">
        <f t="shared" ca="1" si="69"/>
        <v>49.510333333333335</v>
      </c>
      <c r="BJ62" s="167">
        <f t="shared" ca="1" si="82"/>
        <v>9.9020666666666664</v>
      </c>
      <c r="BK62" s="167">
        <f t="shared" ca="1" si="83"/>
        <v>13.202755555555555</v>
      </c>
      <c r="BL62" s="167">
        <f t="shared" ca="1" si="84"/>
        <v>26.40551111111111</v>
      </c>
      <c r="BM62" s="178"/>
      <c r="BN62" s="178"/>
      <c r="BO62" s="169">
        <f t="shared" ca="1" si="72"/>
        <v>57.191046153846159</v>
      </c>
      <c r="BP62" s="170">
        <f ca="1">INDEX('Cap based on indoor unit SZ'!$V$43:$V$58,MATCH(AE62,'Cap based on indoor unit SZ'!$U$43:$U$58))</f>
        <v>11.956020512820512</v>
      </c>
      <c r="BQ62" s="170">
        <f ca="1">INDEX('Cap based on indoor unit SZ'!$V$43:$V$58,MATCH(AF62,'Cap based on indoor unit SZ'!$U$43:$U$58))</f>
        <v>14.945025641025641</v>
      </c>
      <c r="BR62" s="170">
        <f ca="1">INDEX('Cap based on indoor unit SZ'!$V$43:$V$58,MATCH(AG62,'Cap based on indoor unit SZ'!$U$43:$U$58))</f>
        <v>30.290000000000003</v>
      </c>
      <c r="BS62" s="179"/>
      <c r="BT62" s="179"/>
      <c r="BU62" s="175">
        <v>9500</v>
      </c>
      <c r="BV62" s="175">
        <v>12500</v>
      </c>
      <c r="BW62" s="175">
        <v>22000</v>
      </c>
      <c r="BX62" s="179"/>
      <c r="BY62" s="179"/>
      <c r="BZ62" s="172">
        <f t="shared" ca="1" si="73"/>
        <v>49.510333333333335</v>
      </c>
      <c r="CA62" s="173">
        <f t="shared" ca="1" si="85"/>
        <v>9.9020666666666664</v>
      </c>
      <c r="CB62" s="173">
        <f t="shared" ca="1" si="86"/>
        <v>13.202755555555555</v>
      </c>
      <c r="CC62" s="173">
        <f t="shared" ca="1" si="87"/>
        <v>26.40551111111111</v>
      </c>
      <c r="CD62" s="180"/>
      <c r="CE62" s="180"/>
      <c r="CF62" s="166">
        <f t="shared" ca="1" si="76"/>
        <v>31.870137984601513</v>
      </c>
      <c r="CG62" s="167">
        <f t="shared" ca="1" si="77"/>
        <v>6.3740275969203033</v>
      </c>
      <c r="CH62" s="167">
        <f t="shared" ca="1" si="77"/>
        <v>8.4987034625604032</v>
      </c>
      <c r="CI62" s="167">
        <f t="shared" ca="1" si="77"/>
        <v>16.997406925120806</v>
      </c>
      <c r="CJ62" s="178"/>
      <c r="CK62" s="178"/>
    </row>
    <row r="63" spans="2:89">
      <c r="B63" s="284">
        <v>48</v>
      </c>
      <c r="C63" s="284">
        <v>69.8</v>
      </c>
      <c r="D63" s="284">
        <v>59</v>
      </c>
      <c r="E63" s="8" t="s">
        <v>16</v>
      </c>
      <c r="F63" s="9">
        <v>28.254999999999999</v>
      </c>
      <c r="G63" s="9">
        <v>28.88</v>
      </c>
      <c r="H63" s="9">
        <v>29.024999999999999</v>
      </c>
      <c r="I63" s="9">
        <v>28.96</v>
      </c>
      <c r="J63" s="9">
        <v>28.484999999999999</v>
      </c>
      <c r="K63" s="9">
        <v>30.274999999999999</v>
      </c>
      <c r="L63" s="9">
        <v>37.064999999999998</v>
      </c>
      <c r="M63" s="9">
        <v>36.159999999999997</v>
      </c>
      <c r="N63" s="9">
        <v>35.07</v>
      </c>
      <c r="O63" s="9">
        <v>31.914999999999999</v>
      </c>
      <c r="P63" s="9">
        <v>28.92</v>
      </c>
      <c r="Q63" s="9">
        <v>26.009999999999998</v>
      </c>
      <c r="R63" s="6"/>
      <c r="AC63" s="164" t="s">
        <v>173</v>
      </c>
      <c r="AD63" s="164">
        <v>36</v>
      </c>
      <c r="AE63" s="165">
        <v>9</v>
      </c>
      <c r="AF63" s="165">
        <v>18</v>
      </c>
      <c r="AG63" s="165">
        <v>18</v>
      </c>
      <c r="AH63" s="164"/>
      <c r="AI63" s="164"/>
      <c r="AJ63" s="501"/>
      <c r="AK63" s="166">
        <f t="shared" ca="1" si="61"/>
        <v>39.961111111111109</v>
      </c>
      <c r="AL63" s="167">
        <f t="shared" ca="1" si="78"/>
        <v>7.9922222222222219</v>
      </c>
      <c r="AM63" s="167">
        <f t="shared" ca="1" si="79"/>
        <v>15.984444444444444</v>
      </c>
      <c r="AN63" s="167">
        <f t="shared" ca="1" si="80"/>
        <v>15.984444444444444</v>
      </c>
      <c r="AO63" s="178"/>
      <c r="AP63" s="178"/>
      <c r="AQ63" s="169">
        <f t="shared" ca="1" si="64"/>
        <v>50.105333333333334</v>
      </c>
      <c r="AR63" s="170">
        <f ca="1">INDEX('Cap based on indoor unit SZ'!$J$6:$J$21,MATCH(AE63,'Cap based on indoor unit SZ'!$I$6:$I$21))</f>
        <v>10.463111111111111</v>
      </c>
      <c r="AS63" s="170">
        <f ca="1">INDEX('Cap based on indoor unit SZ'!$J$6:$J$21,MATCH(AF63,'Cap based on indoor unit SZ'!$I$6:$I$21))</f>
        <v>19.821111111111112</v>
      </c>
      <c r="AT63" s="170">
        <f ca="1">INDEX('Cap based on indoor unit SZ'!$J$6:$J$21,MATCH(AG63,'Cap based on indoor unit SZ'!$I$6:$I$21))</f>
        <v>19.821111111111112</v>
      </c>
      <c r="AU63" s="179"/>
      <c r="AV63" s="179"/>
      <c r="AW63" s="169">
        <f t="shared" si="65"/>
        <v>45</v>
      </c>
      <c r="AX63" s="170">
        <v>9</v>
      </c>
      <c r="AY63" s="170">
        <v>18</v>
      </c>
      <c r="AZ63" s="170">
        <v>18</v>
      </c>
      <c r="BA63" s="179"/>
      <c r="BB63" s="179"/>
      <c r="BC63" s="172">
        <f t="shared" ca="1" si="66"/>
        <v>39.961111111111109</v>
      </c>
      <c r="BD63" s="173">
        <f t="shared" ca="1" si="81"/>
        <v>7.9922222222222219</v>
      </c>
      <c r="BE63" s="173">
        <f t="shared" ca="1" si="81"/>
        <v>15.984444444444444</v>
      </c>
      <c r="BF63" s="173">
        <f t="shared" ca="1" si="81"/>
        <v>15.984444444444444</v>
      </c>
      <c r="BG63" s="180"/>
      <c r="BH63" s="180"/>
      <c r="BI63" s="166">
        <f t="shared" ca="1" si="69"/>
        <v>49.510333333333335</v>
      </c>
      <c r="BJ63" s="167">
        <f t="shared" ca="1" si="82"/>
        <v>9.9020666666666664</v>
      </c>
      <c r="BK63" s="167">
        <f t="shared" ca="1" si="83"/>
        <v>19.804133333333333</v>
      </c>
      <c r="BL63" s="167">
        <f t="shared" ca="1" si="84"/>
        <v>19.804133333333333</v>
      </c>
      <c r="BM63" s="178"/>
      <c r="BN63" s="178"/>
      <c r="BO63" s="169">
        <f t="shared" ca="1" si="72"/>
        <v>61.153661538461535</v>
      </c>
      <c r="BP63" s="170">
        <f ca="1">INDEX('Cap based on indoor unit SZ'!$V$43:$V$58,MATCH(AE63,'Cap based on indoor unit SZ'!$U$43:$U$58))</f>
        <v>11.956020512820512</v>
      </c>
      <c r="BQ63" s="170">
        <f ca="1">INDEX('Cap based on indoor unit SZ'!$V$43:$V$58,MATCH(AF63,'Cap based on indoor unit SZ'!$U$43:$U$58))</f>
        <v>24.598820512820513</v>
      </c>
      <c r="BR63" s="170">
        <f ca="1">INDEX('Cap based on indoor unit SZ'!$V$43:$V$58,MATCH(AG63,'Cap based on indoor unit SZ'!$U$43:$U$58))</f>
        <v>24.598820512820513</v>
      </c>
      <c r="BS63" s="179"/>
      <c r="BT63" s="179"/>
      <c r="BU63" s="175">
        <v>9500</v>
      </c>
      <c r="BV63" s="175">
        <v>18500</v>
      </c>
      <c r="BW63" s="175">
        <v>18500</v>
      </c>
      <c r="BX63" s="179"/>
      <c r="BY63" s="179"/>
      <c r="BZ63" s="172">
        <f t="shared" ca="1" si="73"/>
        <v>49.510333333333335</v>
      </c>
      <c r="CA63" s="173">
        <f t="shared" ca="1" si="85"/>
        <v>9.9020666666666664</v>
      </c>
      <c r="CB63" s="173">
        <f t="shared" ca="1" si="86"/>
        <v>19.804133333333333</v>
      </c>
      <c r="CC63" s="173">
        <f t="shared" ca="1" si="87"/>
        <v>19.804133333333333</v>
      </c>
      <c r="CD63" s="180"/>
      <c r="CE63" s="180"/>
      <c r="CF63" s="166">
        <f t="shared" ca="1" si="76"/>
        <v>31.870137984601516</v>
      </c>
      <c r="CG63" s="167">
        <f t="shared" ca="1" si="77"/>
        <v>6.3740275969203033</v>
      </c>
      <c r="CH63" s="167">
        <f t="shared" ca="1" si="77"/>
        <v>12.748055193840607</v>
      </c>
      <c r="CI63" s="167">
        <f t="shared" ca="1" si="77"/>
        <v>12.748055193840607</v>
      </c>
      <c r="CJ63" s="178"/>
      <c r="CK63" s="178"/>
    </row>
    <row r="64" spans="2:89">
      <c r="B64" s="284">
        <v>48</v>
      </c>
      <c r="C64" s="284">
        <v>75.2</v>
      </c>
      <c r="D64" s="284">
        <v>62.6</v>
      </c>
      <c r="E64" s="8" t="s">
        <v>16</v>
      </c>
      <c r="F64" s="9">
        <v>31.814999999999998</v>
      </c>
      <c r="G64" s="9">
        <v>32.520000000000003</v>
      </c>
      <c r="H64" s="9">
        <v>32.685000000000002</v>
      </c>
      <c r="I64" s="9">
        <v>32.614999999999995</v>
      </c>
      <c r="J64" s="9">
        <v>32.08</v>
      </c>
      <c r="K64" s="9">
        <v>34.484999999999999</v>
      </c>
      <c r="L64" s="9">
        <v>36.625</v>
      </c>
      <c r="M64" s="9">
        <v>35.68</v>
      </c>
      <c r="N64" s="9">
        <v>33.590000000000003</v>
      </c>
      <c r="O64" s="9">
        <v>31.294999999999998</v>
      </c>
      <c r="P64" s="9">
        <v>31.234999999999999</v>
      </c>
      <c r="Q64" s="9">
        <v>28.09</v>
      </c>
      <c r="R64" s="6"/>
      <c r="AC64" s="164" t="s">
        <v>172</v>
      </c>
      <c r="AD64" s="164">
        <v>36</v>
      </c>
      <c r="AE64" s="165">
        <v>9</v>
      </c>
      <c r="AF64" s="165">
        <v>18</v>
      </c>
      <c r="AG64" s="165">
        <v>24</v>
      </c>
      <c r="AH64" s="164"/>
      <c r="AI64" s="164"/>
      <c r="AJ64" s="501"/>
      <c r="AK64" s="166">
        <f t="shared" ca="1" si="61"/>
        <v>39.961111111111109</v>
      </c>
      <c r="AL64" s="167">
        <f t="shared" ca="1" si="78"/>
        <v>7.0519607843137262</v>
      </c>
      <c r="AM64" s="167">
        <f t="shared" ca="1" si="79"/>
        <v>14.103921568627452</v>
      </c>
      <c r="AN64" s="167">
        <f t="shared" ca="1" si="80"/>
        <v>18.805228758169935</v>
      </c>
      <c r="AO64" s="178"/>
      <c r="AP64" s="178"/>
      <c r="AQ64" s="169">
        <f t="shared" ca="1" si="64"/>
        <v>54.736444444444444</v>
      </c>
      <c r="AR64" s="170">
        <f ca="1">INDEX('Cap based on indoor unit SZ'!$J$6:$J$21,MATCH(AE64,'Cap based on indoor unit SZ'!$I$6:$I$21))</f>
        <v>10.463111111111111</v>
      </c>
      <c r="AS64" s="170">
        <f ca="1">INDEX('Cap based on indoor unit SZ'!$J$6:$J$21,MATCH(AF64,'Cap based on indoor unit SZ'!$I$6:$I$21))</f>
        <v>19.821111111111112</v>
      </c>
      <c r="AT64" s="170">
        <f ca="1">INDEX('Cap based on indoor unit SZ'!$J$6:$J$21,MATCH(AG64,'Cap based on indoor unit SZ'!$I$6:$I$21))</f>
        <v>24.452222222222218</v>
      </c>
      <c r="AU64" s="179"/>
      <c r="AV64" s="179"/>
      <c r="AW64" s="169">
        <f t="shared" si="65"/>
        <v>46</v>
      </c>
      <c r="AX64" s="170">
        <v>8.5</v>
      </c>
      <c r="AY64" s="170">
        <v>16</v>
      </c>
      <c r="AZ64" s="170">
        <v>21.5</v>
      </c>
      <c r="BA64" s="179"/>
      <c r="BB64" s="179"/>
      <c r="BC64" s="172">
        <f t="shared" ca="1" si="66"/>
        <v>39.961111111111109</v>
      </c>
      <c r="BD64" s="173">
        <f t="shared" ca="1" si="81"/>
        <v>7.0519607843137262</v>
      </c>
      <c r="BE64" s="173">
        <f t="shared" ca="1" si="81"/>
        <v>14.103921568627452</v>
      </c>
      <c r="BF64" s="173">
        <f t="shared" ca="1" si="81"/>
        <v>18.805228758169935</v>
      </c>
      <c r="BG64" s="180"/>
      <c r="BH64" s="180"/>
      <c r="BI64" s="166">
        <f t="shared" ca="1" si="69"/>
        <v>49.51033333333335</v>
      </c>
      <c r="BJ64" s="167">
        <f t="shared" ca="1" si="82"/>
        <v>8.7371176470588257</v>
      </c>
      <c r="BK64" s="167">
        <f t="shared" ca="1" si="83"/>
        <v>17.474235294117651</v>
      </c>
      <c r="BL64" s="167">
        <f t="shared" ca="1" si="84"/>
        <v>23.298980392156867</v>
      </c>
      <c r="BM64" s="178"/>
      <c r="BN64" s="178"/>
      <c r="BO64" s="169">
        <f t="shared" ca="1" si="72"/>
        <v>66.844841025641031</v>
      </c>
      <c r="BP64" s="170">
        <f ca="1">INDEX('Cap based on indoor unit SZ'!$V$43:$V$58,MATCH(AE64,'Cap based on indoor unit SZ'!$U$43:$U$58))</f>
        <v>11.956020512820512</v>
      </c>
      <c r="BQ64" s="170">
        <f ca="1">INDEX('Cap based on indoor unit SZ'!$V$43:$V$58,MATCH(AF64,'Cap based on indoor unit SZ'!$U$43:$U$58))</f>
        <v>24.598820512820513</v>
      </c>
      <c r="BR64" s="170">
        <f ca="1">INDEX('Cap based on indoor unit SZ'!$V$43:$V$58,MATCH(AG64,'Cap based on indoor unit SZ'!$U$43:$U$58))</f>
        <v>30.290000000000003</v>
      </c>
      <c r="BS64" s="179"/>
      <c r="BT64" s="179"/>
      <c r="BU64" s="175">
        <v>9000</v>
      </c>
      <c r="BV64" s="175">
        <v>17000</v>
      </c>
      <c r="BW64" s="175">
        <v>22000</v>
      </c>
      <c r="BX64" s="179"/>
      <c r="BY64" s="179"/>
      <c r="BZ64" s="172">
        <f t="shared" ca="1" si="73"/>
        <v>49.51033333333335</v>
      </c>
      <c r="CA64" s="173">
        <f t="shared" ca="1" si="85"/>
        <v>8.7371176470588257</v>
      </c>
      <c r="CB64" s="173">
        <f t="shared" ca="1" si="86"/>
        <v>17.474235294117651</v>
      </c>
      <c r="CC64" s="173">
        <f t="shared" ca="1" si="87"/>
        <v>23.298980392156867</v>
      </c>
      <c r="CD64" s="180"/>
      <c r="CE64" s="180"/>
      <c r="CF64" s="166">
        <f t="shared" ca="1" si="76"/>
        <v>31.870137984601516</v>
      </c>
      <c r="CG64" s="167">
        <f t="shared" ca="1" si="77"/>
        <v>5.6241419972826208</v>
      </c>
      <c r="CH64" s="167">
        <f t="shared" ca="1" si="77"/>
        <v>11.248283994565242</v>
      </c>
      <c r="CI64" s="167">
        <f t="shared" ca="1" si="77"/>
        <v>14.997711992753654</v>
      </c>
      <c r="CJ64" s="178"/>
      <c r="CK64" s="178"/>
    </row>
    <row r="65" spans="2:89">
      <c r="B65" s="284">
        <v>48</v>
      </c>
      <c r="C65" s="284">
        <v>80.599999999999994</v>
      </c>
      <c r="D65" s="284">
        <v>66.2</v>
      </c>
      <c r="E65" s="8" t="s">
        <v>16</v>
      </c>
      <c r="F65" s="9">
        <v>38.295000000000002</v>
      </c>
      <c r="G65" s="9">
        <v>39.144999999999996</v>
      </c>
      <c r="H65" s="9">
        <v>39.03</v>
      </c>
      <c r="I65" s="9">
        <v>39.56</v>
      </c>
      <c r="J65" s="9">
        <v>39.4</v>
      </c>
      <c r="K65" s="9">
        <v>39.664999999999999</v>
      </c>
      <c r="L65" s="9">
        <v>41.674999999999997</v>
      </c>
      <c r="M65" s="9">
        <v>40.36</v>
      </c>
      <c r="N65" s="9">
        <v>38.754999999999995</v>
      </c>
      <c r="O65" s="9">
        <v>37.125</v>
      </c>
      <c r="P65" s="9">
        <v>37.159999999999997</v>
      </c>
      <c r="Q65" s="9">
        <v>33.68</v>
      </c>
      <c r="R65" s="6"/>
      <c r="AC65" s="164" t="s">
        <v>171</v>
      </c>
      <c r="AD65" s="164">
        <v>36</v>
      </c>
      <c r="AE65" s="165">
        <v>9</v>
      </c>
      <c r="AF65" s="165">
        <v>24</v>
      </c>
      <c r="AG65" s="165">
        <v>24</v>
      </c>
      <c r="AH65" s="164"/>
      <c r="AI65" s="164"/>
      <c r="AJ65" s="501"/>
      <c r="AK65" s="166">
        <f t="shared" ca="1" si="61"/>
        <v>39.961111111111109</v>
      </c>
      <c r="AL65" s="167">
        <f t="shared" ca="1" si="78"/>
        <v>6.3096491228070173</v>
      </c>
      <c r="AM65" s="167">
        <f t="shared" ca="1" si="79"/>
        <v>16.825730994152046</v>
      </c>
      <c r="AN65" s="167">
        <f t="shared" ca="1" si="80"/>
        <v>16.825730994152046</v>
      </c>
      <c r="AO65" s="178"/>
      <c r="AP65" s="178"/>
      <c r="AQ65" s="169">
        <f t="shared" ca="1" si="64"/>
        <v>59.367555555555548</v>
      </c>
      <c r="AR65" s="170">
        <f ca="1">INDEX('Cap based on indoor unit SZ'!$J$6:$J$21,MATCH(AE65,'Cap based on indoor unit SZ'!$I$6:$I$21))</f>
        <v>10.463111111111111</v>
      </c>
      <c r="AS65" s="170">
        <f ca="1">INDEX('Cap based on indoor unit SZ'!$J$6:$J$21,MATCH(AF65,'Cap based on indoor unit SZ'!$I$6:$I$21))</f>
        <v>24.452222222222218</v>
      </c>
      <c r="AT65" s="170">
        <f ca="1">INDEX('Cap based on indoor unit SZ'!$J$6:$J$21,MATCH(AG65,'Cap based on indoor unit SZ'!$I$6:$I$21))</f>
        <v>24.452222222222218</v>
      </c>
      <c r="AU65" s="179"/>
      <c r="AV65" s="179"/>
      <c r="AW65" s="169">
        <f t="shared" si="65"/>
        <v>48</v>
      </c>
      <c r="AX65" s="170">
        <v>8</v>
      </c>
      <c r="AY65" s="170">
        <v>20</v>
      </c>
      <c r="AZ65" s="170">
        <v>20</v>
      </c>
      <c r="BA65" s="179"/>
      <c r="BB65" s="179"/>
      <c r="BC65" s="172">
        <f t="shared" ca="1" si="66"/>
        <v>39.961111111111109</v>
      </c>
      <c r="BD65" s="173">
        <f t="shared" ca="1" si="81"/>
        <v>6.3096491228070173</v>
      </c>
      <c r="BE65" s="173">
        <f t="shared" ca="1" si="81"/>
        <v>16.825730994152046</v>
      </c>
      <c r="BF65" s="173">
        <f t="shared" ca="1" si="81"/>
        <v>16.825730994152046</v>
      </c>
      <c r="BG65" s="180"/>
      <c r="BH65" s="180"/>
      <c r="BI65" s="166">
        <f t="shared" ca="1" si="69"/>
        <v>49.510333333333335</v>
      </c>
      <c r="BJ65" s="167">
        <f t="shared" ca="1" si="82"/>
        <v>7.8174210526315795</v>
      </c>
      <c r="BK65" s="167">
        <f t="shared" ca="1" si="83"/>
        <v>20.846456140350877</v>
      </c>
      <c r="BL65" s="167">
        <f t="shared" ca="1" si="84"/>
        <v>20.846456140350877</v>
      </c>
      <c r="BM65" s="178"/>
      <c r="BN65" s="178"/>
      <c r="BO65" s="169">
        <f t="shared" ca="1" si="72"/>
        <v>72.536020512820514</v>
      </c>
      <c r="BP65" s="170">
        <f ca="1">INDEX('Cap based on indoor unit SZ'!$V$43:$V$58,MATCH(AE65,'Cap based on indoor unit SZ'!$U$43:$U$58))</f>
        <v>11.956020512820512</v>
      </c>
      <c r="BQ65" s="170">
        <f ca="1">INDEX('Cap based on indoor unit SZ'!$V$43:$V$58,MATCH(AF65,'Cap based on indoor unit SZ'!$U$43:$U$58))</f>
        <v>30.290000000000003</v>
      </c>
      <c r="BR65" s="170">
        <f ca="1">INDEX('Cap based on indoor unit SZ'!$V$43:$V$58,MATCH(AG65,'Cap based on indoor unit SZ'!$U$43:$U$58))</f>
        <v>30.290000000000003</v>
      </c>
      <c r="BS65" s="179"/>
      <c r="BT65" s="179"/>
      <c r="BU65" s="175">
        <v>8500</v>
      </c>
      <c r="BV65" s="175">
        <v>21000</v>
      </c>
      <c r="BW65" s="175">
        <v>21000</v>
      </c>
      <c r="BX65" s="179"/>
      <c r="BY65" s="179"/>
      <c r="BZ65" s="172">
        <f t="shared" ca="1" si="73"/>
        <v>49.510333333333335</v>
      </c>
      <c r="CA65" s="173">
        <f t="shared" ca="1" si="85"/>
        <v>7.8174210526315795</v>
      </c>
      <c r="CB65" s="173">
        <f t="shared" ca="1" si="86"/>
        <v>20.846456140350877</v>
      </c>
      <c r="CC65" s="173">
        <f t="shared" ca="1" si="87"/>
        <v>20.846456140350877</v>
      </c>
      <c r="CD65" s="180"/>
      <c r="CE65" s="180"/>
      <c r="CF65" s="166">
        <f t="shared" ca="1" si="76"/>
        <v>31.870137984601516</v>
      </c>
      <c r="CG65" s="167">
        <f t="shared" ca="1" si="77"/>
        <v>5.0321270502002395</v>
      </c>
      <c r="CH65" s="167">
        <f t="shared" ca="1" si="77"/>
        <v>13.419005467200638</v>
      </c>
      <c r="CI65" s="167">
        <f t="shared" ca="1" si="77"/>
        <v>13.419005467200638</v>
      </c>
      <c r="CJ65" s="178"/>
      <c r="CK65" s="178"/>
    </row>
    <row r="66" spans="2:89" ht="14.4" thickBot="1">
      <c r="B66" s="284">
        <v>48</v>
      </c>
      <c r="C66" s="284">
        <v>89.6</v>
      </c>
      <c r="D66" s="284">
        <v>73.400000000000006</v>
      </c>
      <c r="E66" s="8" t="s">
        <v>16</v>
      </c>
      <c r="F66" s="9">
        <v>41.01</v>
      </c>
      <c r="G66" s="9">
        <v>41.915000000000006</v>
      </c>
      <c r="H66" s="9">
        <v>41.81</v>
      </c>
      <c r="I66" s="9">
        <v>42.019999999999996</v>
      </c>
      <c r="J66" s="9">
        <v>42.174999999999997</v>
      </c>
      <c r="K66" s="9">
        <v>44.75</v>
      </c>
      <c r="L66" s="9">
        <v>49.16</v>
      </c>
      <c r="M66" s="9">
        <v>48.064999999999998</v>
      </c>
      <c r="N66" s="9">
        <v>46.99</v>
      </c>
      <c r="O66" s="9">
        <v>39.835000000000001</v>
      </c>
      <c r="P66" s="9">
        <v>39.445</v>
      </c>
      <c r="Q66" s="9">
        <v>35.4</v>
      </c>
      <c r="R66" s="6"/>
      <c r="AC66" s="164" t="s">
        <v>170</v>
      </c>
      <c r="AD66" s="164">
        <v>36</v>
      </c>
      <c r="AE66" s="165">
        <v>12</v>
      </c>
      <c r="AF66" s="165">
        <v>12</v>
      </c>
      <c r="AG66" s="165">
        <v>12</v>
      </c>
      <c r="AH66" s="164"/>
      <c r="AI66" s="164"/>
      <c r="AJ66" s="501"/>
      <c r="AK66" s="166">
        <f t="shared" ca="1" si="61"/>
        <v>39.236666666666672</v>
      </c>
      <c r="AL66" s="167">
        <f t="shared" ca="1" si="78"/>
        <v>13.078888888888891</v>
      </c>
      <c r="AM66" s="167">
        <f t="shared" ca="1" si="79"/>
        <v>13.078888888888891</v>
      </c>
      <c r="AN66" s="167">
        <f t="shared" ca="1" si="80"/>
        <v>13.078888888888891</v>
      </c>
      <c r="AO66" s="178"/>
      <c r="AP66" s="178"/>
      <c r="AQ66" s="169">
        <f t="shared" ca="1" si="64"/>
        <v>39.236666666666672</v>
      </c>
      <c r="AR66" s="170">
        <f ca="1">INDEX('Cap based on indoor unit SZ'!$J$6:$J$21,MATCH(AE66,'Cap based on indoor unit SZ'!$I$6:$I$21))</f>
        <v>13.078888888888891</v>
      </c>
      <c r="AS66" s="170">
        <f ca="1">INDEX('Cap based on indoor unit SZ'!$J$6:$J$21,MATCH(AF66,'Cap based on indoor unit SZ'!$I$6:$I$21))</f>
        <v>13.078888888888891</v>
      </c>
      <c r="AT66" s="170">
        <f ca="1">INDEX('Cap based on indoor unit SZ'!$J$6:$J$21,MATCH(AG66,'Cap based on indoor unit SZ'!$I$6:$I$21))</f>
        <v>13.078888888888891</v>
      </c>
      <c r="AU66" s="179"/>
      <c r="AV66" s="179"/>
      <c r="AW66" s="169">
        <f t="shared" si="65"/>
        <v>36</v>
      </c>
      <c r="AX66" s="170">
        <v>12</v>
      </c>
      <c r="AY66" s="170">
        <v>12</v>
      </c>
      <c r="AZ66" s="170">
        <v>12</v>
      </c>
      <c r="BA66" s="179"/>
      <c r="BB66" s="179"/>
      <c r="BC66" s="172">
        <f t="shared" ca="1" si="66"/>
        <v>39.961111111111109</v>
      </c>
      <c r="BD66" s="173">
        <f t="shared" ca="1" si="81"/>
        <v>13.32037037037037</v>
      </c>
      <c r="BE66" s="173">
        <f t="shared" ca="1" si="81"/>
        <v>13.32037037037037</v>
      </c>
      <c r="BF66" s="173">
        <f t="shared" ca="1" si="81"/>
        <v>13.32037037037037</v>
      </c>
      <c r="BG66" s="180"/>
      <c r="BH66" s="180"/>
      <c r="BI66" s="166">
        <f t="shared" ca="1" si="69"/>
        <v>44.835076923076926</v>
      </c>
      <c r="BJ66" s="167">
        <f t="shared" ca="1" si="82"/>
        <v>14.945025641025641</v>
      </c>
      <c r="BK66" s="167">
        <f t="shared" ca="1" si="83"/>
        <v>14.945025641025641</v>
      </c>
      <c r="BL66" s="167">
        <f t="shared" ca="1" si="84"/>
        <v>14.945025641025641</v>
      </c>
      <c r="BM66" s="178"/>
      <c r="BN66" s="178"/>
      <c r="BO66" s="169">
        <f t="shared" ca="1" si="72"/>
        <v>44.835076923076926</v>
      </c>
      <c r="BP66" s="170">
        <f ca="1">INDEX('Cap based on indoor unit SZ'!$V$43:$V$58,MATCH(AE66,'Cap based on indoor unit SZ'!$U$43:$U$58))</f>
        <v>14.945025641025641</v>
      </c>
      <c r="BQ66" s="170">
        <f ca="1">INDEX('Cap based on indoor unit SZ'!$V$43:$V$58,MATCH(AF66,'Cap based on indoor unit SZ'!$U$43:$U$58))</f>
        <v>14.945025641025641</v>
      </c>
      <c r="BR66" s="170">
        <f ca="1">INDEX('Cap based on indoor unit SZ'!$V$43:$V$58,MATCH(AG66,'Cap based on indoor unit SZ'!$U$43:$U$58))</f>
        <v>14.945025641025641</v>
      </c>
      <c r="BS66" s="179"/>
      <c r="BT66" s="179"/>
      <c r="BU66" s="175">
        <v>13000</v>
      </c>
      <c r="BV66" s="175">
        <v>13000</v>
      </c>
      <c r="BW66" s="175">
        <v>13000</v>
      </c>
      <c r="BX66" s="179"/>
      <c r="BY66" s="179"/>
      <c r="BZ66" s="172">
        <f t="shared" ca="1" si="73"/>
        <v>49.510333333333335</v>
      </c>
      <c r="CA66" s="173">
        <f t="shared" ca="1" si="85"/>
        <v>16.503444444444444</v>
      </c>
      <c r="CB66" s="173">
        <f t="shared" ca="1" si="86"/>
        <v>16.503444444444444</v>
      </c>
      <c r="CC66" s="173">
        <f t="shared" ca="1" si="87"/>
        <v>16.503444444444444</v>
      </c>
      <c r="CD66" s="180"/>
      <c r="CE66" s="180"/>
      <c r="CF66" s="166">
        <f t="shared" ca="1" si="76"/>
        <v>31.292372658146348</v>
      </c>
      <c r="CG66" s="167">
        <f t="shared" ca="1" si="77"/>
        <v>10.430790886048783</v>
      </c>
      <c r="CH66" s="167">
        <f t="shared" ca="1" si="77"/>
        <v>10.430790886048783</v>
      </c>
      <c r="CI66" s="167">
        <f t="shared" ca="1" si="77"/>
        <v>10.430790886048783</v>
      </c>
      <c r="CJ66" s="178"/>
      <c r="CK66" s="178"/>
    </row>
    <row r="67" spans="2:89">
      <c r="B67" s="188">
        <v>18</v>
      </c>
      <c r="C67" s="189">
        <v>69.8</v>
      </c>
      <c r="D67" s="189">
        <v>59</v>
      </c>
      <c r="E67" s="190" t="s">
        <v>109</v>
      </c>
      <c r="F67" s="219">
        <f t="shared" ref="F67:Q82" si="88">F47/F27</f>
        <v>0.74612506680919299</v>
      </c>
      <c r="G67" s="220">
        <f t="shared" si="88"/>
        <v>0.74136587899246953</v>
      </c>
      <c r="H67" s="220">
        <f t="shared" si="88"/>
        <v>0.74140194276713045</v>
      </c>
      <c r="I67" s="220">
        <f t="shared" si="88"/>
        <v>0.74085766903446448</v>
      </c>
      <c r="J67" s="220">
        <f t="shared" si="88"/>
        <v>0.74013245033112585</v>
      </c>
      <c r="K67" s="220">
        <f t="shared" si="88"/>
        <v>0.74152223059532785</v>
      </c>
      <c r="L67" s="219">
        <f t="shared" si="88"/>
        <v>0.76522359657469075</v>
      </c>
      <c r="M67" s="219">
        <f t="shared" si="88"/>
        <v>0.78078625357979692</v>
      </c>
      <c r="N67" s="219">
        <f t="shared" si="88"/>
        <v>0.82235123367198826</v>
      </c>
      <c r="O67" s="219">
        <f t="shared" si="88"/>
        <v>0.98410652920962194</v>
      </c>
      <c r="P67" s="219">
        <f t="shared" si="88"/>
        <v>0.98199819981998204</v>
      </c>
      <c r="Q67" s="221">
        <f t="shared" si="88"/>
        <v>0.99341772151898744</v>
      </c>
      <c r="R67" s="222">
        <f t="shared" ref="R67:R86" ca="1" si="89">FORECAST(Cool_Design_T,OFFSET(F67:Q67,0,MATCH(Cool_Design_T,$F$26:$Q$26,1)-1,1,2),OFFSET($F$26:$Q$26,0,MATCH(Cool_Design_T,$F$26:$Q$26,1)-1,1,2))</f>
        <v>0.82235123367198826</v>
      </c>
      <c r="S67" s="145"/>
      <c r="T67" s="145"/>
      <c r="U67" s="146" t="s">
        <v>96</v>
      </c>
      <c r="V67" s="150">
        <f ca="1">FORECAST(INDOOR_DB,OFFSET(R67:R70,MATCH(INDOOR_DB,C67:C70,1)-1,0,2),OFFSET(C67:C70,MATCH(INDOOR_DB,C67:C70,1)-1,0,2))</f>
        <v>0.74253013623820374</v>
      </c>
      <c r="W67" s="145">
        <f>B67</f>
        <v>18</v>
      </c>
      <c r="X67" s="150">
        <f ca="1">IF(OR(INDOOR_DB&lt;C67,INDOOR_DB&gt;C70),V69,V67)</f>
        <v>0.74253013623820374</v>
      </c>
      <c r="AC67" s="164" t="s">
        <v>169</v>
      </c>
      <c r="AD67" s="164">
        <v>36</v>
      </c>
      <c r="AE67" s="165">
        <v>12</v>
      </c>
      <c r="AF67" s="165">
        <v>12</v>
      </c>
      <c r="AG67" s="165">
        <v>18</v>
      </c>
      <c r="AH67" s="164"/>
      <c r="AI67" s="164"/>
      <c r="AJ67" s="501"/>
      <c r="AK67" s="166">
        <f t="shared" ca="1" si="61"/>
        <v>39.961111111111109</v>
      </c>
      <c r="AL67" s="167">
        <f t="shared" ca="1" si="78"/>
        <v>11.417460317460318</v>
      </c>
      <c r="AM67" s="167">
        <f t="shared" ca="1" si="79"/>
        <v>11.417460317460318</v>
      </c>
      <c r="AN67" s="167">
        <f t="shared" ca="1" si="80"/>
        <v>17.126190476190477</v>
      </c>
      <c r="AO67" s="178"/>
      <c r="AP67" s="178"/>
      <c r="AQ67" s="169">
        <f t="shared" ca="1" si="64"/>
        <v>45.978888888888889</v>
      </c>
      <c r="AR67" s="170">
        <f ca="1">INDEX('Cap based on indoor unit SZ'!$J$6:$J$21,MATCH(AE67,'Cap based on indoor unit SZ'!$I$6:$I$21))</f>
        <v>13.078888888888891</v>
      </c>
      <c r="AS67" s="170">
        <f ca="1">INDEX('Cap based on indoor unit SZ'!$J$6:$J$21,MATCH(AF67,'Cap based on indoor unit SZ'!$I$6:$I$21))</f>
        <v>13.078888888888891</v>
      </c>
      <c r="AT67" s="170">
        <f ca="1">INDEX('Cap based on indoor unit SZ'!$J$6:$J$21,MATCH(AG67,'Cap based on indoor unit SZ'!$I$6:$I$21))</f>
        <v>19.821111111111112</v>
      </c>
      <c r="AU67" s="179"/>
      <c r="AV67" s="179"/>
      <c r="AW67" s="169">
        <f t="shared" si="65"/>
        <v>41</v>
      </c>
      <c r="AX67" s="170">
        <v>12</v>
      </c>
      <c r="AY67" s="170">
        <v>12</v>
      </c>
      <c r="AZ67" s="170">
        <v>17</v>
      </c>
      <c r="BA67" s="179"/>
      <c r="BB67" s="179"/>
      <c r="BC67" s="172">
        <f t="shared" ca="1" si="66"/>
        <v>39.961111111111109</v>
      </c>
      <c r="BD67" s="173">
        <f t="shared" ca="1" si="81"/>
        <v>11.417460317460318</v>
      </c>
      <c r="BE67" s="173">
        <f t="shared" ca="1" si="81"/>
        <v>11.417460317460318</v>
      </c>
      <c r="BF67" s="173">
        <f t="shared" ca="1" si="81"/>
        <v>17.126190476190477</v>
      </c>
      <c r="BG67" s="180"/>
      <c r="BH67" s="180"/>
      <c r="BI67" s="166">
        <f t="shared" ca="1" si="69"/>
        <v>49.510333333333335</v>
      </c>
      <c r="BJ67" s="167">
        <f t="shared" ca="1" si="82"/>
        <v>14.145809523809525</v>
      </c>
      <c r="BK67" s="167">
        <f t="shared" ca="1" si="83"/>
        <v>14.145809523809525</v>
      </c>
      <c r="BL67" s="167">
        <f t="shared" ca="1" si="84"/>
        <v>21.218714285714288</v>
      </c>
      <c r="BM67" s="178"/>
      <c r="BN67" s="178"/>
      <c r="BO67" s="169">
        <f t="shared" ca="1" si="72"/>
        <v>54.488871794871798</v>
      </c>
      <c r="BP67" s="170">
        <f ca="1">INDEX('Cap based on indoor unit SZ'!$V$43:$V$58,MATCH(AE67,'Cap based on indoor unit SZ'!$U$43:$U$58))</f>
        <v>14.945025641025641</v>
      </c>
      <c r="BQ67" s="170">
        <f ca="1">INDEX('Cap based on indoor unit SZ'!$V$43:$V$58,MATCH(AF67,'Cap based on indoor unit SZ'!$U$43:$U$58))</f>
        <v>14.945025641025641</v>
      </c>
      <c r="BR67" s="170">
        <f ca="1">INDEX('Cap based on indoor unit SZ'!$V$43:$V$58,MATCH(AG67,'Cap based on indoor unit SZ'!$U$43:$U$58))</f>
        <v>24.598820512820513</v>
      </c>
      <c r="BS67" s="179"/>
      <c r="BT67" s="179"/>
      <c r="BU67" s="175">
        <v>12500</v>
      </c>
      <c r="BV67" s="175">
        <v>12500</v>
      </c>
      <c r="BW67" s="175">
        <v>18000</v>
      </c>
      <c r="BX67" s="179"/>
      <c r="BY67" s="179"/>
      <c r="BZ67" s="172">
        <f t="shared" ca="1" si="73"/>
        <v>49.510333333333335</v>
      </c>
      <c r="CA67" s="173">
        <f t="shared" ca="1" si="85"/>
        <v>14.145809523809525</v>
      </c>
      <c r="CB67" s="173">
        <f t="shared" ca="1" si="86"/>
        <v>14.145809523809525</v>
      </c>
      <c r="CC67" s="173">
        <f t="shared" ca="1" si="87"/>
        <v>21.218714285714288</v>
      </c>
      <c r="CD67" s="180"/>
      <c r="CE67" s="180"/>
      <c r="CF67" s="166">
        <f t="shared" ca="1" si="76"/>
        <v>31.87013798460152</v>
      </c>
      <c r="CG67" s="167">
        <f t="shared" ca="1" si="77"/>
        <v>9.1057537098861481</v>
      </c>
      <c r="CH67" s="167">
        <f t="shared" ca="1" si="77"/>
        <v>9.1057537098861481</v>
      </c>
      <c r="CI67" s="167">
        <f t="shared" ca="1" si="77"/>
        <v>13.658630564829222</v>
      </c>
      <c r="CJ67" s="178"/>
      <c r="CK67" s="178"/>
    </row>
    <row r="68" spans="2:89">
      <c r="B68" s="196">
        <v>18</v>
      </c>
      <c r="C68" s="197">
        <v>75.2</v>
      </c>
      <c r="D68" s="197">
        <v>62.6</v>
      </c>
      <c r="E68" s="198" t="s">
        <v>109</v>
      </c>
      <c r="F68" s="223">
        <f t="shared" si="88"/>
        <v>0.72406947890818862</v>
      </c>
      <c r="G68" s="224">
        <f t="shared" si="88"/>
        <v>0.71435441211829764</v>
      </c>
      <c r="H68" s="224">
        <f t="shared" si="88"/>
        <v>0.72015560418186242</v>
      </c>
      <c r="I68" s="224">
        <f t="shared" si="88"/>
        <v>0.74013638577691176</v>
      </c>
      <c r="J68" s="224">
        <f t="shared" si="88"/>
        <v>0.74981604120676981</v>
      </c>
      <c r="K68" s="224">
        <f t="shared" si="88"/>
        <v>0.75976744186046519</v>
      </c>
      <c r="L68" s="223">
        <f t="shared" si="88"/>
        <v>0.78017621145374461</v>
      </c>
      <c r="M68" s="223">
        <f t="shared" si="88"/>
        <v>0.7898288744275731</v>
      </c>
      <c r="N68" s="223">
        <f t="shared" si="88"/>
        <v>0.82016129032258056</v>
      </c>
      <c r="O68" s="223">
        <f t="shared" si="88"/>
        <v>0.88981702466189327</v>
      </c>
      <c r="P68" s="223">
        <f t="shared" si="88"/>
        <v>0.95000000000000007</v>
      </c>
      <c r="Q68" s="225">
        <f t="shared" si="88"/>
        <v>0.9802566633761105</v>
      </c>
      <c r="R68" s="226">
        <f t="shared" ca="1" si="89"/>
        <v>0.82016129032258056</v>
      </c>
      <c r="S68" s="145"/>
      <c r="T68" s="145"/>
      <c r="U68" s="146"/>
      <c r="V68" s="151"/>
      <c r="W68" s="145"/>
      <c r="X68" s="227"/>
      <c r="AC68" s="164" t="s">
        <v>168</v>
      </c>
      <c r="AD68" s="164">
        <v>36</v>
      </c>
      <c r="AE68" s="165">
        <v>12</v>
      </c>
      <c r="AF68" s="165">
        <v>12</v>
      </c>
      <c r="AG68" s="165">
        <v>24</v>
      </c>
      <c r="AH68" s="164"/>
      <c r="AI68" s="164"/>
      <c r="AJ68" s="501"/>
      <c r="AK68" s="166">
        <f t="shared" ca="1" si="61"/>
        <v>39.961111111111109</v>
      </c>
      <c r="AL68" s="167">
        <f t="shared" ca="1" si="78"/>
        <v>9.9902777777777771</v>
      </c>
      <c r="AM68" s="167">
        <f t="shared" ca="1" si="79"/>
        <v>9.9902777777777771</v>
      </c>
      <c r="AN68" s="167">
        <f t="shared" ca="1" si="80"/>
        <v>19.980555555555554</v>
      </c>
      <c r="AO68" s="178"/>
      <c r="AP68" s="178"/>
      <c r="AQ68" s="169">
        <f t="shared" ca="1" si="64"/>
        <v>50.61</v>
      </c>
      <c r="AR68" s="170">
        <f ca="1">INDEX('Cap based on indoor unit SZ'!$J$6:$J$21,MATCH(AE68,'Cap based on indoor unit SZ'!$I$6:$I$21))</f>
        <v>13.078888888888891</v>
      </c>
      <c r="AS68" s="170">
        <f ca="1">INDEX('Cap based on indoor unit SZ'!$J$6:$J$21,MATCH(AF68,'Cap based on indoor unit SZ'!$I$6:$I$21))</f>
        <v>13.078888888888891</v>
      </c>
      <c r="AT68" s="170">
        <f ca="1">INDEX('Cap based on indoor unit SZ'!$J$6:$J$21,MATCH(AG68,'Cap based on indoor unit SZ'!$I$6:$I$21))</f>
        <v>24.452222222222218</v>
      </c>
      <c r="AU68" s="179"/>
      <c r="AV68" s="179"/>
      <c r="AW68" s="169">
        <f t="shared" si="65"/>
        <v>44</v>
      </c>
      <c r="AX68" s="170">
        <v>11</v>
      </c>
      <c r="AY68" s="170">
        <v>11</v>
      </c>
      <c r="AZ68" s="170">
        <v>22</v>
      </c>
      <c r="BA68" s="179"/>
      <c r="BB68" s="179"/>
      <c r="BC68" s="172">
        <f t="shared" ca="1" si="66"/>
        <v>39.961111111111109</v>
      </c>
      <c r="BD68" s="173">
        <f t="shared" ca="1" si="81"/>
        <v>9.9902777777777771</v>
      </c>
      <c r="BE68" s="173">
        <f t="shared" ca="1" si="81"/>
        <v>9.9902777777777771</v>
      </c>
      <c r="BF68" s="173">
        <f t="shared" ca="1" si="81"/>
        <v>19.980555555555554</v>
      </c>
      <c r="BG68" s="180"/>
      <c r="BH68" s="180"/>
      <c r="BI68" s="166">
        <f t="shared" ca="1" si="69"/>
        <v>49.510333333333335</v>
      </c>
      <c r="BJ68" s="167">
        <f t="shared" ca="1" si="82"/>
        <v>12.377583333333334</v>
      </c>
      <c r="BK68" s="167">
        <f t="shared" ca="1" si="83"/>
        <v>12.377583333333334</v>
      </c>
      <c r="BL68" s="167">
        <f t="shared" ca="1" si="84"/>
        <v>24.755166666666668</v>
      </c>
      <c r="BM68" s="178"/>
      <c r="BN68" s="178"/>
      <c r="BO68" s="169">
        <f t="shared" ca="1" si="72"/>
        <v>60.180051282051281</v>
      </c>
      <c r="BP68" s="170">
        <f ca="1">INDEX('Cap based on indoor unit SZ'!$V$43:$V$58,MATCH(AE68,'Cap based on indoor unit SZ'!$U$43:$U$58))</f>
        <v>14.945025641025641</v>
      </c>
      <c r="BQ68" s="170">
        <f ca="1">INDEX('Cap based on indoor unit SZ'!$V$43:$V$58,MATCH(AF68,'Cap based on indoor unit SZ'!$U$43:$U$58))</f>
        <v>14.945025641025641</v>
      </c>
      <c r="BR68" s="170">
        <f ca="1">INDEX('Cap based on indoor unit SZ'!$V$43:$V$58,MATCH(AG68,'Cap based on indoor unit SZ'!$U$43:$U$58))</f>
        <v>30.290000000000003</v>
      </c>
      <c r="BS68" s="179"/>
      <c r="BT68" s="179"/>
      <c r="BU68" s="175">
        <v>11500</v>
      </c>
      <c r="BV68" s="175">
        <v>11500</v>
      </c>
      <c r="BW68" s="175">
        <v>23000</v>
      </c>
      <c r="BX68" s="179"/>
      <c r="BY68" s="179"/>
      <c r="BZ68" s="172">
        <f t="shared" ca="1" si="73"/>
        <v>49.510333333333335</v>
      </c>
      <c r="CA68" s="173">
        <f t="shared" ca="1" si="85"/>
        <v>12.377583333333334</v>
      </c>
      <c r="CB68" s="173">
        <f t="shared" ca="1" si="86"/>
        <v>12.377583333333334</v>
      </c>
      <c r="CC68" s="173">
        <f t="shared" ca="1" si="87"/>
        <v>24.755166666666668</v>
      </c>
      <c r="CD68" s="180"/>
      <c r="CE68" s="180"/>
      <c r="CF68" s="166">
        <f t="shared" ca="1" si="76"/>
        <v>31.870137984601513</v>
      </c>
      <c r="CG68" s="167">
        <f t="shared" ca="1" si="77"/>
        <v>7.9675344961503782</v>
      </c>
      <c r="CH68" s="167">
        <f t="shared" ca="1" si="77"/>
        <v>7.9675344961503782</v>
      </c>
      <c r="CI68" s="167">
        <f t="shared" ca="1" si="77"/>
        <v>15.935068992300756</v>
      </c>
      <c r="CJ68" s="178"/>
      <c r="CK68" s="178"/>
    </row>
    <row r="69" spans="2:89">
      <c r="B69" s="196">
        <v>18</v>
      </c>
      <c r="C69" s="197">
        <v>80.599999999999994</v>
      </c>
      <c r="D69" s="197">
        <v>66.2</v>
      </c>
      <c r="E69" s="198" t="s">
        <v>109</v>
      </c>
      <c r="F69" s="223">
        <f t="shared" si="88"/>
        <v>0.7256678281068526</v>
      </c>
      <c r="G69" s="224">
        <f t="shared" si="88"/>
        <v>0.72568181818181821</v>
      </c>
      <c r="H69" s="224">
        <f t="shared" si="88"/>
        <v>0.72550810687371559</v>
      </c>
      <c r="I69" s="224">
        <f t="shared" si="88"/>
        <v>0.75146992311171423</v>
      </c>
      <c r="J69" s="224">
        <f t="shared" si="88"/>
        <v>0.72556475061507486</v>
      </c>
      <c r="K69" s="224">
        <f t="shared" si="88"/>
        <v>0.72603332611988747</v>
      </c>
      <c r="L69" s="223">
        <f t="shared" si="88"/>
        <v>0.7155906165663275</v>
      </c>
      <c r="M69" s="223">
        <f t="shared" si="88"/>
        <v>0.72625820568927779</v>
      </c>
      <c r="N69" s="223">
        <f t="shared" si="88"/>
        <v>0.73282624197765622</v>
      </c>
      <c r="O69" s="223">
        <f t="shared" si="88"/>
        <v>0.93307638402242465</v>
      </c>
      <c r="P69" s="223">
        <f t="shared" si="88"/>
        <v>0.97982932505818454</v>
      </c>
      <c r="Q69" s="225">
        <f t="shared" si="88"/>
        <v>0.99428843407901013</v>
      </c>
      <c r="R69" s="226">
        <f t="shared" ca="1" si="89"/>
        <v>0.73282624197765633</v>
      </c>
      <c r="S69" s="145"/>
      <c r="T69" s="145"/>
      <c r="U69" s="146" t="s">
        <v>97</v>
      </c>
      <c r="V69" s="150">
        <f ca="1">TREND(R67:R70,C67:C70,INDOOR_DB)</f>
        <v>0.81019136331985497</v>
      </c>
      <c r="W69" s="145"/>
      <c r="X69" s="227"/>
      <c r="AC69" s="164" t="s">
        <v>167</v>
      </c>
      <c r="AD69" s="164">
        <v>36</v>
      </c>
      <c r="AE69" s="165">
        <v>12</v>
      </c>
      <c r="AF69" s="165">
        <v>18</v>
      </c>
      <c r="AG69" s="165">
        <v>18</v>
      </c>
      <c r="AH69" s="164"/>
      <c r="AI69" s="164"/>
      <c r="AJ69" s="501"/>
      <c r="AK69" s="166">
        <f t="shared" ca="1" si="61"/>
        <v>39.961111111111109</v>
      </c>
      <c r="AL69" s="167">
        <f t="shared" ca="1" si="78"/>
        <v>9.9902777777777771</v>
      </c>
      <c r="AM69" s="167">
        <f t="shared" ca="1" si="79"/>
        <v>14.985416666666666</v>
      </c>
      <c r="AN69" s="167">
        <f t="shared" ca="1" si="80"/>
        <v>14.985416666666666</v>
      </c>
      <c r="AO69" s="178"/>
      <c r="AP69" s="178"/>
      <c r="AQ69" s="169">
        <f t="shared" ca="1" si="64"/>
        <v>52.721111111111114</v>
      </c>
      <c r="AR69" s="170">
        <f ca="1">INDEX('Cap based on indoor unit SZ'!$J$6:$J$21,MATCH(AE69,'Cap based on indoor unit SZ'!$I$6:$I$21))</f>
        <v>13.078888888888891</v>
      </c>
      <c r="AS69" s="170">
        <f ca="1">INDEX('Cap based on indoor unit SZ'!$J$6:$J$21,MATCH(AF69,'Cap based on indoor unit SZ'!$I$6:$I$21))</f>
        <v>19.821111111111112</v>
      </c>
      <c r="AT69" s="170">
        <f ca="1">INDEX('Cap based on indoor unit SZ'!$J$6:$J$21,MATCH(AG69,'Cap based on indoor unit SZ'!$I$6:$I$21))</f>
        <v>19.821111111111112</v>
      </c>
      <c r="AU69" s="179"/>
      <c r="AV69" s="179"/>
      <c r="AW69" s="169">
        <f t="shared" si="65"/>
        <v>44</v>
      </c>
      <c r="AX69" s="170">
        <v>11</v>
      </c>
      <c r="AY69" s="170">
        <v>16.5</v>
      </c>
      <c r="AZ69" s="170">
        <v>16.5</v>
      </c>
      <c r="BA69" s="179"/>
      <c r="BB69" s="179"/>
      <c r="BC69" s="172">
        <f t="shared" ca="1" si="66"/>
        <v>39.961111111111109</v>
      </c>
      <c r="BD69" s="173">
        <f t="shared" ca="1" si="81"/>
        <v>9.9902777777777771</v>
      </c>
      <c r="BE69" s="173">
        <f t="shared" ca="1" si="81"/>
        <v>14.985416666666666</v>
      </c>
      <c r="BF69" s="173">
        <f t="shared" ca="1" si="81"/>
        <v>14.985416666666666</v>
      </c>
      <c r="BG69" s="180"/>
      <c r="BH69" s="180"/>
      <c r="BI69" s="166">
        <f t="shared" ca="1" si="69"/>
        <v>49.510333333333335</v>
      </c>
      <c r="BJ69" s="167">
        <f t="shared" ca="1" si="82"/>
        <v>12.377583333333334</v>
      </c>
      <c r="BK69" s="167">
        <f t="shared" ca="1" si="83"/>
        <v>18.566375000000001</v>
      </c>
      <c r="BL69" s="167">
        <f t="shared" ca="1" si="84"/>
        <v>18.566375000000001</v>
      </c>
      <c r="BM69" s="178"/>
      <c r="BN69" s="178"/>
      <c r="BO69" s="169">
        <f t="shared" ca="1" si="72"/>
        <v>64.14266666666667</v>
      </c>
      <c r="BP69" s="170">
        <f ca="1">INDEX('Cap based on indoor unit SZ'!$V$43:$V$58,MATCH(AE69,'Cap based on indoor unit SZ'!$U$43:$U$58))</f>
        <v>14.945025641025641</v>
      </c>
      <c r="BQ69" s="170">
        <f ca="1">INDEX('Cap based on indoor unit SZ'!$V$43:$V$58,MATCH(AF69,'Cap based on indoor unit SZ'!$U$43:$U$58))</f>
        <v>24.598820512820513</v>
      </c>
      <c r="BR69" s="170">
        <f ca="1">INDEX('Cap based on indoor unit SZ'!$V$43:$V$58,MATCH(AG69,'Cap based on indoor unit SZ'!$U$43:$U$58))</f>
        <v>24.598820512820513</v>
      </c>
      <c r="BS69" s="179"/>
      <c r="BT69" s="179"/>
      <c r="BU69" s="175">
        <v>11500</v>
      </c>
      <c r="BV69" s="175">
        <v>17000</v>
      </c>
      <c r="BW69" s="175">
        <v>17000</v>
      </c>
      <c r="BX69" s="179"/>
      <c r="BY69" s="179"/>
      <c r="BZ69" s="172">
        <f t="shared" ca="1" si="73"/>
        <v>49.510333333333335</v>
      </c>
      <c r="CA69" s="173">
        <f t="shared" ca="1" si="85"/>
        <v>12.377583333333334</v>
      </c>
      <c r="CB69" s="173">
        <f t="shared" ca="1" si="86"/>
        <v>18.566375000000001</v>
      </c>
      <c r="CC69" s="173">
        <f t="shared" ca="1" si="87"/>
        <v>18.566375000000001</v>
      </c>
      <c r="CD69" s="180"/>
      <c r="CE69" s="180"/>
      <c r="CF69" s="166">
        <f t="shared" ca="1" si="76"/>
        <v>31.870137984601513</v>
      </c>
      <c r="CG69" s="167">
        <f t="shared" ca="1" si="77"/>
        <v>7.9675344961503782</v>
      </c>
      <c r="CH69" s="167">
        <f t="shared" ca="1" si="77"/>
        <v>11.951301744225567</v>
      </c>
      <c r="CI69" s="167">
        <f t="shared" ca="1" si="77"/>
        <v>11.951301744225567</v>
      </c>
      <c r="CJ69" s="178"/>
      <c r="CK69" s="178"/>
    </row>
    <row r="70" spans="2:89" ht="14.4" thickBot="1">
      <c r="B70" s="204">
        <v>18</v>
      </c>
      <c r="C70" s="205">
        <v>89.6</v>
      </c>
      <c r="D70" s="205">
        <v>73.400000000000006</v>
      </c>
      <c r="E70" s="206" t="s">
        <v>109</v>
      </c>
      <c r="F70" s="228">
        <f t="shared" si="88"/>
        <v>0.71979544001704665</v>
      </c>
      <c r="G70" s="229">
        <f t="shared" si="88"/>
        <v>0.71997497914929109</v>
      </c>
      <c r="H70" s="229">
        <f t="shared" si="88"/>
        <v>0.7301487534045672</v>
      </c>
      <c r="I70" s="229">
        <f t="shared" si="88"/>
        <v>0.74004149377593365</v>
      </c>
      <c r="J70" s="229">
        <f t="shared" si="88"/>
        <v>0.74989741485432915</v>
      </c>
      <c r="K70" s="229">
        <f t="shared" si="88"/>
        <v>0.72999801469128434</v>
      </c>
      <c r="L70" s="228">
        <f t="shared" si="88"/>
        <v>0.81984383926871063</v>
      </c>
      <c r="M70" s="228">
        <f t="shared" si="88"/>
        <v>0.84002408671216378</v>
      </c>
      <c r="N70" s="228">
        <f t="shared" si="88"/>
        <v>0.85979066724814657</v>
      </c>
      <c r="O70" s="228">
        <f t="shared" si="88"/>
        <v>0.94019292604501625</v>
      </c>
      <c r="P70" s="228">
        <f t="shared" si="88"/>
        <v>0.96014234875444837</v>
      </c>
      <c r="Q70" s="230">
        <f t="shared" si="88"/>
        <v>0.97991266375545849</v>
      </c>
      <c r="R70" s="231">
        <f t="shared" ca="1" si="89"/>
        <v>0.85979066724814646</v>
      </c>
      <c r="S70" s="145"/>
      <c r="T70" s="145"/>
      <c r="U70" s="146"/>
      <c r="V70" s="151"/>
      <c r="W70" s="145"/>
      <c r="X70" s="227"/>
      <c r="AC70" s="164" t="s">
        <v>166</v>
      </c>
      <c r="AD70" s="164">
        <v>36</v>
      </c>
      <c r="AE70" s="165">
        <v>12</v>
      </c>
      <c r="AF70" s="165">
        <v>18</v>
      </c>
      <c r="AG70" s="165">
        <v>24</v>
      </c>
      <c r="AH70" s="164"/>
      <c r="AI70" s="164"/>
      <c r="AJ70" s="501"/>
      <c r="AK70" s="166">
        <f t="shared" ca="1" si="61"/>
        <v>39.961111111111109</v>
      </c>
      <c r="AL70" s="167">
        <f t="shared" ca="1" si="78"/>
        <v>8.8802469135802458</v>
      </c>
      <c r="AM70" s="167">
        <f t="shared" ca="1" si="79"/>
        <v>13.32037037037037</v>
      </c>
      <c r="AN70" s="167">
        <f t="shared" ca="1" si="80"/>
        <v>17.760493827160492</v>
      </c>
      <c r="AO70" s="178"/>
      <c r="AP70" s="178"/>
      <c r="AQ70" s="169">
        <f t="shared" ca="1" si="64"/>
        <v>57.352222222222224</v>
      </c>
      <c r="AR70" s="170">
        <f ca="1">INDEX('Cap based on indoor unit SZ'!$J$6:$J$21,MATCH(AE70,'Cap based on indoor unit SZ'!$I$6:$I$21))</f>
        <v>13.078888888888891</v>
      </c>
      <c r="AS70" s="170">
        <f ca="1">INDEX('Cap based on indoor unit SZ'!$J$6:$J$21,MATCH(AF70,'Cap based on indoor unit SZ'!$I$6:$I$21))</f>
        <v>19.821111111111112</v>
      </c>
      <c r="AT70" s="170">
        <f ca="1">INDEX('Cap based on indoor unit SZ'!$J$6:$J$21,MATCH(AG70,'Cap based on indoor unit SZ'!$I$6:$I$21))</f>
        <v>24.452222222222218</v>
      </c>
      <c r="AU70" s="179"/>
      <c r="AV70" s="179"/>
      <c r="AW70" s="169">
        <f t="shared" si="65"/>
        <v>47.5</v>
      </c>
      <c r="AX70" s="170">
        <v>10.5</v>
      </c>
      <c r="AY70" s="170">
        <v>15.5</v>
      </c>
      <c r="AZ70" s="170">
        <v>21.5</v>
      </c>
      <c r="BA70" s="179"/>
      <c r="BB70" s="179"/>
      <c r="BC70" s="172">
        <f t="shared" ca="1" si="66"/>
        <v>39.961111111111109</v>
      </c>
      <c r="BD70" s="173">
        <f t="shared" ca="1" si="81"/>
        <v>8.8802469135802458</v>
      </c>
      <c r="BE70" s="173">
        <f t="shared" ca="1" si="81"/>
        <v>13.32037037037037</v>
      </c>
      <c r="BF70" s="173">
        <f t="shared" ca="1" si="81"/>
        <v>17.760493827160492</v>
      </c>
      <c r="BG70" s="180"/>
      <c r="BH70" s="180"/>
      <c r="BI70" s="166">
        <f t="shared" ca="1" si="69"/>
        <v>49.510333333333335</v>
      </c>
      <c r="BJ70" s="167">
        <f t="shared" ca="1" si="82"/>
        <v>11.002296296296295</v>
      </c>
      <c r="BK70" s="167">
        <f t="shared" ca="1" si="83"/>
        <v>16.503444444444444</v>
      </c>
      <c r="BL70" s="167">
        <f t="shared" ca="1" si="84"/>
        <v>22.004592592592591</v>
      </c>
      <c r="BM70" s="178"/>
      <c r="BN70" s="178"/>
      <c r="BO70" s="169">
        <f t="shared" ca="1" si="72"/>
        <v>69.833846153846153</v>
      </c>
      <c r="BP70" s="170">
        <f ca="1">INDEX('Cap based on indoor unit SZ'!$V$43:$V$58,MATCH(AE70,'Cap based on indoor unit SZ'!$U$43:$U$58))</f>
        <v>14.945025641025641</v>
      </c>
      <c r="BQ70" s="170">
        <f ca="1">INDEX('Cap based on indoor unit SZ'!$V$43:$V$58,MATCH(AF70,'Cap based on indoor unit SZ'!$U$43:$U$58))</f>
        <v>24.598820512820513</v>
      </c>
      <c r="BR70" s="170">
        <f ca="1">INDEX('Cap based on indoor unit SZ'!$V$43:$V$58,MATCH(AG70,'Cap based on indoor unit SZ'!$U$43:$U$58))</f>
        <v>30.290000000000003</v>
      </c>
      <c r="BS70" s="179"/>
      <c r="BT70" s="179"/>
      <c r="BU70" s="175">
        <v>11000</v>
      </c>
      <c r="BV70" s="175">
        <v>16000</v>
      </c>
      <c r="BW70" s="175">
        <v>22000</v>
      </c>
      <c r="BX70" s="179"/>
      <c r="BY70" s="179"/>
      <c r="BZ70" s="172">
        <f t="shared" ca="1" si="73"/>
        <v>49.510333333333335</v>
      </c>
      <c r="CA70" s="173">
        <f t="shared" ca="1" si="85"/>
        <v>11.002296296296295</v>
      </c>
      <c r="CB70" s="173">
        <f t="shared" ca="1" si="86"/>
        <v>16.503444444444444</v>
      </c>
      <c r="CC70" s="173">
        <f t="shared" ca="1" si="87"/>
        <v>22.004592592592591</v>
      </c>
      <c r="CD70" s="180"/>
      <c r="CE70" s="180"/>
      <c r="CF70" s="166">
        <f t="shared" ca="1" si="76"/>
        <v>31.870137984601513</v>
      </c>
      <c r="CG70" s="167">
        <f t="shared" ca="1" si="77"/>
        <v>7.0822528854670024</v>
      </c>
      <c r="CH70" s="167">
        <f t="shared" ca="1" si="77"/>
        <v>10.623379328200505</v>
      </c>
      <c r="CI70" s="167">
        <f t="shared" ca="1" si="77"/>
        <v>14.164505770934005</v>
      </c>
      <c r="CJ70" s="178"/>
      <c r="CK70" s="178"/>
    </row>
    <row r="71" spans="2:89">
      <c r="B71" s="188">
        <v>24</v>
      </c>
      <c r="C71" s="189">
        <v>69.8</v>
      </c>
      <c r="D71" s="189">
        <v>59</v>
      </c>
      <c r="E71" s="190" t="s">
        <v>109</v>
      </c>
      <c r="F71" s="219">
        <f t="shared" si="88"/>
        <v>0.70018653552653887</v>
      </c>
      <c r="G71" s="220">
        <f t="shared" si="88"/>
        <v>0.70011610549013104</v>
      </c>
      <c r="H71" s="220">
        <f t="shared" si="88"/>
        <v>0.7</v>
      </c>
      <c r="I71" s="220">
        <f t="shared" si="88"/>
        <v>0.69996669996669991</v>
      </c>
      <c r="J71" s="220">
        <f t="shared" si="88"/>
        <v>0.7000673627484002</v>
      </c>
      <c r="K71" s="220">
        <f t="shared" si="88"/>
        <v>0.70004974299452827</v>
      </c>
      <c r="L71" s="219">
        <f t="shared" si="88"/>
        <v>0.7782820642124727</v>
      </c>
      <c r="M71" s="219">
        <f t="shared" si="88"/>
        <v>0.81959355828220859</v>
      </c>
      <c r="N71" s="219">
        <f t="shared" si="88"/>
        <v>0.85968253968253983</v>
      </c>
      <c r="O71" s="219">
        <f t="shared" si="88"/>
        <v>0.94227769110764437</v>
      </c>
      <c r="P71" s="219">
        <f t="shared" si="88"/>
        <v>0.9801422643746297</v>
      </c>
      <c r="Q71" s="221">
        <f t="shared" si="88"/>
        <v>0.99663412992258493</v>
      </c>
      <c r="R71" s="222">
        <f t="shared" ca="1" si="89"/>
        <v>0.85968253968253971</v>
      </c>
      <c r="S71" s="145"/>
      <c r="T71" s="145"/>
      <c r="U71" s="146" t="s">
        <v>96</v>
      </c>
      <c r="V71" s="150">
        <f ca="1">FORECAST(INDOOR_DB,OFFSET(R71:R74,MATCH(INDOOR_DB,C71:C74,1)-1,0,2),OFFSET(C71:C74,MATCH(INDOOR_DB,C71:C74,1)-1,0,2))</f>
        <v>0.76094519353619794</v>
      </c>
      <c r="W71" s="145">
        <f>B71</f>
        <v>24</v>
      </c>
      <c r="X71" s="150">
        <f ca="1">IF(OR(INDOOR_DB&lt;C71,INDOOR_DB&gt;C74),V73,V71)</f>
        <v>0.76094519353619794</v>
      </c>
      <c r="AC71" s="164" t="s">
        <v>165</v>
      </c>
      <c r="AD71" s="164">
        <v>36</v>
      </c>
      <c r="AE71" s="165">
        <v>12</v>
      </c>
      <c r="AF71" s="165">
        <v>24</v>
      </c>
      <c r="AG71" s="165">
        <v>24</v>
      </c>
      <c r="AH71" s="164"/>
      <c r="AI71" s="164"/>
      <c r="AJ71" s="501"/>
      <c r="AK71" s="166">
        <f t="shared" ca="1" si="61"/>
        <v>39.961111111111109</v>
      </c>
      <c r="AL71" s="167">
        <f t="shared" ca="1" si="78"/>
        <v>7.9922222222222219</v>
      </c>
      <c r="AM71" s="167">
        <f t="shared" ca="1" si="79"/>
        <v>15.984444444444444</v>
      </c>
      <c r="AN71" s="167">
        <f t="shared" ca="1" si="80"/>
        <v>15.984444444444444</v>
      </c>
      <c r="AO71" s="178"/>
      <c r="AP71" s="178"/>
      <c r="AQ71" s="169">
        <f t="shared" ca="1" si="64"/>
        <v>61.983333333333327</v>
      </c>
      <c r="AR71" s="170">
        <f ca="1">INDEX('Cap based on indoor unit SZ'!$J$6:$J$21,MATCH(AE71,'Cap based on indoor unit SZ'!$I$6:$I$21))</f>
        <v>13.078888888888891</v>
      </c>
      <c r="AS71" s="170">
        <f ca="1">INDEX('Cap based on indoor unit SZ'!$J$6:$J$21,MATCH(AF71,'Cap based on indoor unit SZ'!$I$6:$I$21))</f>
        <v>24.452222222222218</v>
      </c>
      <c r="AT71" s="170">
        <f ca="1">INDEX('Cap based on indoor unit SZ'!$J$6:$J$21,MATCH(AG71,'Cap based on indoor unit SZ'!$I$6:$I$21))</f>
        <v>24.452222222222218</v>
      </c>
      <c r="AU71" s="179"/>
      <c r="AV71" s="179"/>
      <c r="AW71" s="169">
        <f t="shared" si="65"/>
        <v>50</v>
      </c>
      <c r="AX71" s="170">
        <v>10</v>
      </c>
      <c r="AY71" s="170">
        <v>20</v>
      </c>
      <c r="AZ71" s="170">
        <v>20</v>
      </c>
      <c r="BA71" s="179"/>
      <c r="BB71" s="179"/>
      <c r="BC71" s="172">
        <f t="shared" ca="1" si="66"/>
        <v>39.961111111111109</v>
      </c>
      <c r="BD71" s="173">
        <f t="shared" ca="1" si="81"/>
        <v>7.9922222222222219</v>
      </c>
      <c r="BE71" s="173">
        <f t="shared" ca="1" si="81"/>
        <v>15.984444444444444</v>
      </c>
      <c r="BF71" s="173">
        <f t="shared" ca="1" si="81"/>
        <v>15.984444444444444</v>
      </c>
      <c r="BG71" s="180"/>
      <c r="BH71" s="180"/>
      <c r="BI71" s="166">
        <f t="shared" ca="1" si="69"/>
        <v>49.510333333333335</v>
      </c>
      <c r="BJ71" s="167">
        <f t="shared" ca="1" si="82"/>
        <v>9.9020666666666664</v>
      </c>
      <c r="BK71" s="167">
        <f t="shared" ca="1" si="83"/>
        <v>19.804133333333333</v>
      </c>
      <c r="BL71" s="167">
        <f t="shared" ca="1" si="84"/>
        <v>19.804133333333333</v>
      </c>
      <c r="BM71" s="178"/>
      <c r="BN71" s="178"/>
      <c r="BO71" s="169">
        <f t="shared" ca="1" si="72"/>
        <v>75.52502564102565</v>
      </c>
      <c r="BP71" s="170">
        <f ca="1">INDEX('Cap based on indoor unit SZ'!$V$43:$V$58,MATCH(AE71,'Cap based on indoor unit SZ'!$U$43:$U$58))</f>
        <v>14.945025641025641</v>
      </c>
      <c r="BQ71" s="170">
        <f ca="1">INDEX('Cap based on indoor unit SZ'!$V$43:$V$58,MATCH(AF71,'Cap based on indoor unit SZ'!$U$43:$U$58))</f>
        <v>30.290000000000003</v>
      </c>
      <c r="BR71" s="170">
        <f ca="1">INDEX('Cap based on indoor unit SZ'!$V$43:$V$58,MATCH(AG71,'Cap based on indoor unit SZ'!$U$43:$U$58))</f>
        <v>30.290000000000003</v>
      </c>
      <c r="BS71" s="179"/>
      <c r="BT71" s="179"/>
      <c r="BU71" s="175">
        <v>11000</v>
      </c>
      <c r="BV71" s="175">
        <v>20500</v>
      </c>
      <c r="BW71" s="175">
        <v>20500</v>
      </c>
      <c r="BX71" s="179"/>
      <c r="BY71" s="179"/>
      <c r="BZ71" s="172">
        <f t="shared" ca="1" si="73"/>
        <v>49.510333333333335</v>
      </c>
      <c r="CA71" s="173">
        <f t="shared" ca="1" si="85"/>
        <v>9.9020666666666664</v>
      </c>
      <c r="CB71" s="173">
        <f t="shared" ca="1" si="86"/>
        <v>19.804133333333333</v>
      </c>
      <c r="CC71" s="173">
        <f t="shared" ca="1" si="87"/>
        <v>19.804133333333333</v>
      </c>
      <c r="CD71" s="180"/>
      <c r="CE71" s="180"/>
      <c r="CF71" s="166">
        <f t="shared" ca="1" si="76"/>
        <v>31.870137984601516</v>
      </c>
      <c r="CG71" s="167">
        <f t="shared" ca="1" si="77"/>
        <v>6.3740275969203033</v>
      </c>
      <c r="CH71" s="167">
        <f t="shared" ca="1" si="77"/>
        <v>12.748055193840607</v>
      </c>
      <c r="CI71" s="167">
        <f t="shared" ca="1" si="77"/>
        <v>12.748055193840607</v>
      </c>
      <c r="CJ71" s="178"/>
      <c r="CK71" s="178"/>
    </row>
    <row r="72" spans="2:89">
      <c r="B72" s="196">
        <v>24</v>
      </c>
      <c r="C72" s="197">
        <v>75.2</v>
      </c>
      <c r="D72" s="197">
        <v>62.6</v>
      </c>
      <c r="E72" s="198" t="s">
        <v>109</v>
      </c>
      <c r="F72" s="223">
        <f t="shared" si="88"/>
        <v>0.70000000000000007</v>
      </c>
      <c r="G72" s="224">
        <f t="shared" si="88"/>
        <v>0.69993857493857481</v>
      </c>
      <c r="H72" s="224">
        <f t="shared" si="88"/>
        <v>0.70000000000000007</v>
      </c>
      <c r="I72" s="224">
        <f t="shared" si="88"/>
        <v>0.7000154154462771</v>
      </c>
      <c r="J72" s="224">
        <f t="shared" si="88"/>
        <v>0.70014033993450808</v>
      </c>
      <c r="K72" s="224">
        <f t="shared" si="88"/>
        <v>0.70013818516812532</v>
      </c>
      <c r="L72" s="223">
        <f t="shared" si="88"/>
        <v>0.75003891050583649</v>
      </c>
      <c r="M72" s="223">
        <f t="shared" si="88"/>
        <v>0.81984380546680857</v>
      </c>
      <c r="N72" s="223">
        <f t="shared" si="88"/>
        <v>0.86008230452674894</v>
      </c>
      <c r="O72" s="223">
        <f t="shared" si="88"/>
        <v>0.89985556090515173</v>
      </c>
      <c r="P72" s="223">
        <f t="shared" si="88"/>
        <v>0.95031567389514149</v>
      </c>
      <c r="Q72" s="225">
        <f t="shared" si="88"/>
        <v>0.99002804612028661</v>
      </c>
      <c r="R72" s="226">
        <f t="shared" ca="1" si="89"/>
        <v>0.86008230452674894</v>
      </c>
      <c r="S72" s="145"/>
      <c r="T72" s="145"/>
      <c r="U72" s="146"/>
      <c r="V72" s="151"/>
      <c r="W72" s="145"/>
      <c r="X72" s="227"/>
      <c r="AC72" s="164" t="s">
        <v>164</v>
      </c>
      <c r="AD72" s="164">
        <v>36</v>
      </c>
      <c r="AE72" s="165">
        <v>18</v>
      </c>
      <c r="AF72" s="165">
        <v>18</v>
      </c>
      <c r="AG72" s="165">
        <v>18</v>
      </c>
      <c r="AH72" s="164"/>
      <c r="AI72" s="164"/>
      <c r="AJ72" s="501"/>
      <c r="AK72" s="166">
        <f t="shared" ca="1" si="61"/>
        <v>39.961111111111109</v>
      </c>
      <c r="AL72" s="167">
        <f t="shared" ca="1" si="78"/>
        <v>13.32037037037037</v>
      </c>
      <c r="AM72" s="167">
        <f t="shared" ca="1" si="79"/>
        <v>13.32037037037037</v>
      </c>
      <c r="AN72" s="167">
        <f t="shared" ca="1" si="80"/>
        <v>13.32037037037037</v>
      </c>
      <c r="AO72" s="178"/>
      <c r="AP72" s="178"/>
      <c r="AQ72" s="169">
        <f t="shared" ca="1" si="64"/>
        <v>59.463333333333338</v>
      </c>
      <c r="AR72" s="170">
        <f ca="1">INDEX('Cap based on indoor unit SZ'!$J$6:$J$21,MATCH(AE72,'Cap based on indoor unit SZ'!$I$6:$I$21))</f>
        <v>19.821111111111112</v>
      </c>
      <c r="AS72" s="170">
        <f ca="1">INDEX('Cap based on indoor unit SZ'!$J$6:$J$21,MATCH(AF72,'Cap based on indoor unit SZ'!$I$6:$I$21))</f>
        <v>19.821111111111112</v>
      </c>
      <c r="AT72" s="170">
        <f ca="1">INDEX('Cap based on indoor unit SZ'!$J$6:$J$21,MATCH(AG72,'Cap based on indoor unit SZ'!$I$6:$I$21))</f>
        <v>19.821111111111112</v>
      </c>
      <c r="AU72" s="179"/>
      <c r="AV72" s="179"/>
      <c r="AW72" s="169">
        <f t="shared" si="65"/>
        <v>48</v>
      </c>
      <c r="AX72" s="170">
        <v>16</v>
      </c>
      <c r="AY72" s="170">
        <v>16</v>
      </c>
      <c r="AZ72" s="170">
        <v>16</v>
      </c>
      <c r="BA72" s="179"/>
      <c r="BB72" s="179"/>
      <c r="BC72" s="172">
        <f t="shared" ca="1" si="66"/>
        <v>39.961111111111109</v>
      </c>
      <c r="BD72" s="173">
        <f t="shared" ca="1" si="81"/>
        <v>13.32037037037037</v>
      </c>
      <c r="BE72" s="173">
        <f t="shared" ca="1" si="81"/>
        <v>13.32037037037037</v>
      </c>
      <c r="BF72" s="173">
        <f t="shared" ca="1" si="81"/>
        <v>13.32037037037037</v>
      </c>
      <c r="BG72" s="180"/>
      <c r="BH72" s="180"/>
      <c r="BI72" s="166">
        <f t="shared" ca="1" si="69"/>
        <v>49.510333333333335</v>
      </c>
      <c r="BJ72" s="167">
        <f t="shared" ca="1" si="82"/>
        <v>16.503444444444444</v>
      </c>
      <c r="BK72" s="167">
        <f t="shared" ca="1" si="83"/>
        <v>16.503444444444444</v>
      </c>
      <c r="BL72" s="167">
        <f t="shared" ca="1" si="84"/>
        <v>16.503444444444444</v>
      </c>
      <c r="BM72" s="178"/>
      <c r="BN72" s="178"/>
      <c r="BO72" s="169">
        <f t="shared" ca="1" si="72"/>
        <v>73.796461538461543</v>
      </c>
      <c r="BP72" s="170">
        <f ca="1">INDEX('Cap based on indoor unit SZ'!$V$43:$V$58,MATCH(AE72,'Cap based on indoor unit SZ'!$U$43:$U$58))</f>
        <v>24.598820512820513</v>
      </c>
      <c r="BQ72" s="170">
        <f ca="1">INDEX('Cap based on indoor unit SZ'!$V$43:$V$58,MATCH(AF72,'Cap based on indoor unit SZ'!$U$43:$U$58))</f>
        <v>24.598820512820513</v>
      </c>
      <c r="BR72" s="170">
        <f ca="1">INDEX('Cap based on indoor unit SZ'!$V$43:$V$58,MATCH(AG72,'Cap based on indoor unit SZ'!$U$43:$U$58))</f>
        <v>24.598820512820513</v>
      </c>
      <c r="BS72" s="179"/>
      <c r="BT72" s="179"/>
      <c r="BU72" s="175">
        <v>16500</v>
      </c>
      <c r="BV72" s="175">
        <v>16500</v>
      </c>
      <c r="BW72" s="175">
        <v>16500</v>
      </c>
      <c r="BX72" s="179"/>
      <c r="BY72" s="179"/>
      <c r="BZ72" s="172">
        <f t="shared" ca="1" si="73"/>
        <v>49.510333333333335</v>
      </c>
      <c r="CA72" s="173">
        <f t="shared" ca="1" si="85"/>
        <v>16.503444444444444</v>
      </c>
      <c r="CB72" s="173">
        <f t="shared" ca="1" si="86"/>
        <v>16.503444444444444</v>
      </c>
      <c r="CC72" s="173">
        <f t="shared" ca="1" si="87"/>
        <v>16.503444444444444</v>
      </c>
      <c r="CD72" s="180"/>
      <c r="CE72" s="180"/>
      <c r="CF72" s="166">
        <f t="shared" ca="1" si="76"/>
        <v>31.870137984601513</v>
      </c>
      <c r="CG72" s="167">
        <f t="shared" ca="1" si="77"/>
        <v>10.623379328200505</v>
      </c>
      <c r="CH72" s="167">
        <f t="shared" ca="1" si="77"/>
        <v>10.623379328200505</v>
      </c>
      <c r="CI72" s="167">
        <f t="shared" ca="1" si="77"/>
        <v>10.623379328200505</v>
      </c>
      <c r="CJ72" s="178"/>
      <c r="CK72" s="178"/>
    </row>
    <row r="73" spans="2:89">
      <c r="B73" s="196">
        <v>24</v>
      </c>
      <c r="C73" s="197">
        <v>80.599999999999994</v>
      </c>
      <c r="D73" s="197">
        <v>66.2</v>
      </c>
      <c r="E73" s="198" t="s">
        <v>109</v>
      </c>
      <c r="F73" s="223">
        <f t="shared" si="88"/>
        <v>0.70007230657989872</v>
      </c>
      <c r="G73" s="224">
        <f t="shared" si="88"/>
        <v>0.70005659309564228</v>
      </c>
      <c r="H73" s="224">
        <f t="shared" si="88"/>
        <v>0.70001415027593039</v>
      </c>
      <c r="I73" s="224">
        <f t="shared" si="88"/>
        <v>0.70000000000000007</v>
      </c>
      <c r="J73" s="224">
        <f t="shared" si="88"/>
        <v>0.70009902390720047</v>
      </c>
      <c r="K73" s="224">
        <f t="shared" si="88"/>
        <v>0.7</v>
      </c>
      <c r="L73" s="223">
        <f t="shared" si="88"/>
        <v>0.70477935993232754</v>
      </c>
      <c r="M73" s="223">
        <f t="shared" si="88"/>
        <v>0.72430255109652386</v>
      </c>
      <c r="N73" s="223">
        <f t="shared" si="88"/>
        <v>0.74855305466237942</v>
      </c>
      <c r="O73" s="223">
        <f t="shared" si="88"/>
        <v>0.86327134404057482</v>
      </c>
      <c r="P73" s="223">
        <f t="shared" si="88"/>
        <v>0.99101527403414214</v>
      </c>
      <c r="Q73" s="225">
        <f t="shared" si="88"/>
        <v>0.99508026929052307</v>
      </c>
      <c r="R73" s="226">
        <f t="shared" ca="1" si="89"/>
        <v>0.74855305466237931</v>
      </c>
      <c r="S73" s="145"/>
      <c r="T73" s="145"/>
      <c r="U73" s="146" t="s">
        <v>97</v>
      </c>
      <c r="V73" s="150">
        <f ca="1">TREND(R71:R74,C71:C74,INDOOR_DB)</f>
        <v>0.84033530666259382</v>
      </c>
      <c r="W73" s="145"/>
      <c r="X73" s="227"/>
      <c r="AC73" s="164" t="s">
        <v>163</v>
      </c>
      <c r="AD73" s="164">
        <v>36</v>
      </c>
      <c r="AE73" s="165">
        <v>18</v>
      </c>
      <c r="AF73" s="165">
        <v>18</v>
      </c>
      <c r="AG73" s="165">
        <v>24</v>
      </c>
      <c r="AH73" s="164"/>
      <c r="AI73" s="164"/>
      <c r="AJ73" s="501"/>
      <c r="AK73" s="166">
        <f t="shared" ca="1" si="61"/>
        <v>39.961111111111109</v>
      </c>
      <c r="AL73" s="167">
        <f t="shared" ca="1" si="78"/>
        <v>11.988333333333333</v>
      </c>
      <c r="AM73" s="167">
        <f t="shared" ca="1" si="79"/>
        <v>11.988333333333333</v>
      </c>
      <c r="AN73" s="167">
        <f t="shared" ca="1" si="80"/>
        <v>15.984444444444444</v>
      </c>
      <c r="AO73" s="178"/>
      <c r="AP73" s="178"/>
      <c r="AQ73" s="169">
        <f t="shared" ca="1" si="64"/>
        <v>64.094444444444434</v>
      </c>
      <c r="AR73" s="170">
        <f ca="1">INDEX('Cap based on indoor unit SZ'!$J$6:$J$21,MATCH(AE73,'Cap based on indoor unit SZ'!$I$6:$I$21))</f>
        <v>19.821111111111112</v>
      </c>
      <c r="AS73" s="170">
        <f ca="1">INDEX('Cap based on indoor unit SZ'!$J$6:$J$21,MATCH(AF73,'Cap based on indoor unit SZ'!$I$6:$I$21))</f>
        <v>19.821111111111112</v>
      </c>
      <c r="AT73" s="170">
        <f ca="1">INDEX('Cap based on indoor unit SZ'!$J$6:$J$21,MATCH(AG73,'Cap based on indoor unit SZ'!$I$6:$I$21))</f>
        <v>24.452222222222218</v>
      </c>
      <c r="AU73" s="179"/>
      <c r="AV73" s="179"/>
      <c r="AW73" s="169">
        <f t="shared" si="65"/>
        <v>50</v>
      </c>
      <c r="AX73" s="170">
        <v>15</v>
      </c>
      <c r="AY73" s="170">
        <v>15</v>
      </c>
      <c r="AZ73" s="170">
        <v>20</v>
      </c>
      <c r="BA73" s="179"/>
      <c r="BB73" s="179"/>
      <c r="BC73" s="172">
        <f t="shared" ca="1" si="66"/>
        <v>39.961111111111109</v>
      </c>
      <c r="BD73" s="173">
        <f t="shared" ca="1" si="81"/>
        <v>11.988333333333333</v>
      </c>
      <c r="BE73" s="173">
        <f t="shared" ca="1" si="81"/>
        <v>11.988333333333333</v>
      </c>
      <c r="BF73" s="173">
        <f t="shared" ca="1" si="81"/>
        <v>15.984444444444444</v>
      </c>
      <c r="BG73" s="180"/>
      <c r="BH73" s="180"/>
      <c r="BI73" s="166">
        <f t="shared" ca="1" si="69"/>
        <v>49.510333333333335</v>
      </c>
      <c r="BJ73" s="167">
        <f t="shared" ca="1" si="82"/>
        <v>14.853100000000001</v>
      </c>
      <c r="BK73" s="167">
        <f t="shared" ca="1" si="83"/>
        <v>14.853100000000001</v>
      </c>
      <c r="BL73" s="167">
        <f t="shared" ca="1" si="84"/>
        <v>19.804133333333333</v>
      </c>
      <c r="BM73" s="178"/>
      <c r="BN73" s="178"/>
      <c r="BO73" s="169">
        <f t="shared" ca="1" si="72"/>
        <v>79.487641025641025</v>
      </c>
      <c r="BP73" s="170">
        <f ca="1">INDEX('Cap based on indoor unit SZ'!$V$43:$V$58,MATCH(AE73,'Cap based on indoor unit SZ'!$U$43:$U$58))</f>
        <v>24.598820512820513</v>
      </c>
      <c r="BQ73" s="170">
        <f ca="1">INDEX('Cap based on indoor unit SZ'!$V$43:$V$58,MATCH(AF73,'Cap based on indoor unit SZ'!$U$43:$U$58))</f>
        <v>24.598820512820513</v>
      </c>
      <c r="BR73" s="170">
        <f ca="1">INDEX('Cap based on indoor unit SZ'!$V$43:$V$58,MATCH(AG73,'Cap based on indoor unit SZ'!$U$43:$U$58))</f>
        <v>30.290000000000003</v>
      </c>
      <c r="BS73" s="179"/>
      <c r="BT73" s="179"/>
      <c r="BU73" s="175">
        <v>15500</v>
      </c>
      <c r="BV73" s="175">
        <v>15500</v>
      </c>
      <c r="BW73" s="175">
        <v>21000</v>
      </c>
      <c r="BX73" s="179"/>
      <c r="BY73" s="179"/>
      <c r="BZ73" s="172">
        <f t="shared" ca="1" si="73"/>
        <v>49.510333333333335</v>
      </c>
      <c r="CA73" s="173">
        <f t="shared" ca="1" si="85"/>
        <v>14.853100000000001</v>
      </c>
      <c r="CB73" s="173">
        <f t="shared" ca="1" si="86"/>
        <v>14.853100000000001</v>
      </c>
      <c r="CC73" s="173">
        <f t="shared" ca="1" si="87"/>
        <v>19.804133333333333</v>
      </c>
      <c r="CD73" s="180"/>
      <c r="CE73" s="180"/>
      <c r="CF73" s="166">
        <f t="shared" ca="1" si="76"/>
        <v>31.870137984601516</v>
      </c>
      <c r="CG73" s="167">
        <f t="shared" ca="1" si="77"/>
        <v>9.5610413953804549</v>
      </c>
      <c r="CH73" s="167">
        <f t="shared" ca="1" si="77"/>
        <v>9.5610413953804549</v>
      </c>
      <c r="CI73" s="167">
        <f t="shared" ca="1" si="77"/>
        <v>12.748055193840607</v>
      </c>
      <c r="CJ73" s="178"/>
      <c r="CK73" s="178"/>
    </row>
    <row r="74" spans="2:89" ht="14.4" thickBot="1">
      <c r="B74" s="204">
        <v>24</v>
      </c>
      <c r="C74" s="205">
        <v>89.6</v>
      </c>
      <c r="D74" s="205">
        <v>73.400000000000006</v>
      </c>
      <c r="E74" s="206" t="s">
        <v>109</v>
      </c>
      <c r="F74" s="228">
        <f t="shared" si="88"/>
        <v>0.69995945398026749</v>
      </c>
      <c r="G74" s="229">
        <f t="shared" si="88"/>
        <v>0.69998677773370355</v>
      </c>
      <c r="H74" s="229">
        <f t="shared" si="88"/>
        <v>0.69994710394075632</v>
      </c>
      <c r="I74" s="229">
        <f t="shared" si="88"/>
        <v>0.69985378173600965</v>
      </c>
      <c r="J74" s="229">
        <f t="shared" si="88"/>
        <v>0.69989423585404542</v>
      </c>
      <c r="K74" s="229">
        <f t="shared" si="88"/>
        <v>0.75998948475289174</v>
      </c>
      <c r="L74" s="228">
        <f t="shared" si="88"/>
        <v>0.82002635046113292</v>
      </c>
      <c r="M74" s="228">
        <f t="shared" si="88"/>
        <v>0.85011154489682095</v>
      </c>
      <c r="N74" s="228">
        <f t="shared" si="88"/>
        <v>0.89015777610818936</v>
      </c>
      <c r="O74" s="228">
        <f t="shared" si="88"/>
        <v>0.92000790045427605</v>
      </c>
      <c r="P74" s="228">
        <f t="shared" si="88"/>
        <v>0.95990764063811929</v>
      </c>
      <c r="Q74" s="230">
        <f t="shared" si="88"/>
        <v>1</v>
      </c>
      <c r="R74" s="231">
        <f t="shared" ca="1" si="89"/>
        <v>0.89015777610818936</v>
      </c>
      <c r="S74" s="145"/>
      <c r="T74" s="145"/>
      <c r="U74" s="146"/>
      <c r="V74" s="151"/>
      <c r="W74" s="145"/>
      <c r="X74" s="227"/>
      <c r="AC74" s="164" t="s">
        <v>162</v>
      </c>
      <c r="AD74" s="164">
        <v>36</v>
      </c>
      <c r="AE74" s="165">
        <v>9</v>
      </c>
      <c r="AF74" s="165">
        <v>9</v>
      </c>
      <c r="AG74" s="165">
        <v>9</v>
      </c>
      <c r="AH74" s="164">
        <v>9</v>
      </c>
      <c r="AI74" s="164"/>
      <c r="AJ74" s="500">
        <v>4</v>
      </c>
      <c r="AK74" s="166">
        <f t="shared" ca="1" si="61"/>
        <v>39.961111111111109</v>
      </c>
      <c r="AL74" s="167">
        <f t="shared" ref="AL74:AL91" ca="1" si="90">IF((INDEX($AA$4:$AA$7,MATCH(INDOOR_1,$Z$4:$Z$7))*(INDEX($X$27:$X$46,MATCH($AD74,$W$27:$W$46,1))/(INDEX($AA$4:$AA$7,MATCH(INDOOR_1,$Z$4:$Z$7))+INDEX($AA$4:$AA$7,MATCH(INDOOR_2,$Z$4:$Z$7))+INDEX($AA$4:$AA$7,MATCH(INDOOR_3,$Z$4:$Z$7))+INDEX($AA$4:$AA$7,MATCH(INDOOR_4,$Z$4:$Z$7)))))
&gt;AR74,AR74,
(INDEX($AA$4:$AA$7,MATCH(INDOOR_1,$Z$4:$Z$7))*(INDEX($X$27:$X$46,MATCH($AD74,$W$27:$W$46,1))/(INDEX($AA$4:$AA$7,MATCH(INDOOR_1,$Z$4:$Z$7))+INDEX($AA$4:$AA$7,MATCH(INDOOR_2,$Z$4:$Z$7))+INDEX($AA$4:$AA$7,MATCH(INDOOR_3,$Z$4:$Z$7))+INDEX($AA$4:$AA$7,MATCH(INDOOR_4,$Z$4:$Z$7))))))</f>
        <v>9.9902777777777771</v>
      </c>
      <c r="AM74" s="167">
        <f t="shared" ref="AM74:AM91" ca="1" si="91">IF((INDEX($AA$4:$AA$7,MATCH(INDOOR_2,$Z$4:$Z$7))*(INDEX($X$27:$X$46,MATCH($AD74,$W$27:$W$46,1))/(INDEX($AA$4:$AA$7,MATCH(INDOOR_1,$Z$4:$Z$7))+INDEX($AA$4:$AA$7,MATCH(INDOOR_2,$Z$4:$Z$7))+INDEX($AA$4:$AA$7,MATCH(INDOOR_3,$Z$4:$Z$7))+INDEX($AA$4:$AA$7,MATCH(INDOOR_4,$Z$4:$Z$7)))))
&gt;AS74,AS74,
(INDEX($AA$4:$AA$7,MATCH(INDOOR_2,$Z$4:$Z$7))*(INDEX($X$27:$X$46,MATCH($AD74,$W$27:$W$46,1))/(INDEX($AA$4:$AA$7,MATCH(INDOOR_1,$Z$4:$Z$7))+INDEX($AA$4:$AA$7,MATCH(INDOOR_2,$Z$4:$Z$7))+INDEX($AA$4:$AA$7,MATCH(INDOOR_3,$Z$4:$Z$7))+INDEX($AA$4:$AA$7,MATCH(INDOOR_4,$Z$4:$Z$7))))))</f>
        <v>9.9902777777777771</v>
      </c>
      <c r="AN74" s="167">
        <f t="shared" ref="AN74:AN91" ca="1" si="92">IF((INDEX($AA$4:$AA$7,MATCH(INDOOR_3,$Z$4:$Z$7))*(INDEX($X$27:$X$46,MATCH($AD74,$W$27:$W$46,1))/(INDEX($AA$4:$AA$7,MATCH(INDOOR_1,$Z$4:$Z$7))+INDEX($AA$4:$AA$7,MATCH(INDOOR_2,$Z$4:$Z$7))+INDEX($AA$4:$AA$7,MATCH(INDOOR_3,$Z$4:$Z$7))+INDEX($AA$4:$AA$7,MATCH(INDOOR_4,$Z$4:$Z$7)))))
&gt;AT74,AT74,
(INDEX($AA$4:$AA$7,MATCH(INDOOR_3,$Z$4:$Z$7))*(INDEX($X$27:$X$46,MATCH($AD74,$W$27:$W$46,1))/(INDEX($AA$4:$AA$7,MATCH(INDOOR_1,$Z$4:$Z$7))+INDEX($AA$4:$AA$7,MATCH(INDOOR_2,$Z$4:$Z$7))+INDEX($AA$4:$AA$7,MATCH(INDOOR_3,$Z$4:$Z$7))+INDEX($AA$4:$AA$7,MATCH(INDOOR_4,$Z$4:$Z$7))))))</f>
        <v>9.9902777777777771</v>
      </c>
      <c r="AO74" s="167">
        <f t="shared" ref="AO74:AO91" ca="1" si="93">IF((INDEX($AA$4:$AA$7,MATCH(INDOOR_4,$Z$4:$Z$7))*(INDEX($X$27:$X$46,MATCH($AD74,$W$27:$W$46,1))/(INDEX($AA$4:$AA$7,MATCH(INDOOR_1,$Z$4:$Z$7))+INDEX($AA$4:$AA$7,MATCH(INDOOR_2,$Z$4:$Z$7))+INDEX($AA$4:$AA$7,MATCH(INDOOR_3,$Z$4:$Z$7))+INDEX($AA$4:$AA$7,MATCH(INDOOR_4,$Z$4:$Z$7)))))
&gt;AU74,AU74,
(INDEX($AA$4:$AA$7,MATCH(INDOOR_4,$Z$4:$Z$7))*(INDEX($X$27:$X$46,MATCH($AD74,$W$27:$W$46,1))/(INDEX($AA$4:$AA$7,MATCH(INDOOR_1,$Z$4:$Z$7))+INDEX($AA$4:$AA$7,MATCH(INDOOR_2,$Z$4:$Z$7))+INDEX($AA$4:$AA$7,MATCH(INDOOR_3,$Z$4:$Z$7))+INDEX($AA$4:$AA$7,MATCH(INDOOR_4,$Z$4:$Z$7))))))</f>
        <v>9.9902777777777771</v>
      </c>
      <c r="AP74" s="178"/>
      <c r="AQ74" s="169">
        <f t="shared" ca="1" si="64"/>
        <v>41.852444444444444</v>
      </c>
      <c r="AR74" s="170">
        <f ca="1">INDEX('Cap based on indoor unit SZ'!$J$6:$J$21,MATCH(AE74,'Cap based on indoor unit SZ'!$I$6:$I$21))</f>
        <v>10.463111111111111</v>
      </c>
      <c r="AS74" s="170">
        <f ca="1">INDEX('Cap based on indoor unit SZ'!$J$6:$J$21,MATCH(AF74,'Cap based on indoor unit SZ'!$I$6:$I$21))</f>
        <v>10.463111111111111</v>
      </c>
      <c r="AT74" s="170">
        <f ca="1">INDEX('Cap based on indoor unit SZ'!$J$6:$J$21,MATCH(AG74,'Cap based on indoor unit SZ'!$I$6:$I$21))</f>
        <v>10.463111111111111</v>
      </c>
      <c r="AU74" s="170">
        <f ca="1">INDEX('Cap based on indoor unit SZ'!$J$6:$J$21,MATCH(AH74,'Cap based on indoor unit SZ'!$I$6:$I$21))</f>
        <v>10.463111111111111</v>
      </c>
      <c r="AV74" s="179"/>
      <c r="AW74" s="169">
        <f t="shared" si="65"/>
        <v>37</v>
      </c>
      <c r="AX74" s="170">
        <v>9.25</v>
      </c>
      <c r="AY74" s="170">
        <v>9.25</v>
      </c>
      <c r="AZ74" s="170">
        <v>9.25</v>
      </c>
      <c r="BA74" s="170">
        <v>9.25</v>
      </c>
      <c r="BB74" s="179"/>
      <c r="BC74" s="172">
        <f t="shared" ca="1" si="66"/>
        <v>39.961111111111109</v>
      </c>
      <c r="BD74" s="173">
        <f t="shared" ref="BD74:BG91" ca="1" si="94">(INDEX($AA$4:$AA$7,MATCH(AE74,$Z$4:$Z$7))*(INDEX($X$27:$X$46,MATCH($AD74,$W$27:$W$46,1))/(INDEX($AA$4:$AA$7,MATCH($AE74,$Z$4:$Z$7))+INDEX($AA$4:$AA$7,MATCH($AF74,$Z$4:$Z$7))+INDEX($AA$4:$AA$7,MATCH($AG74,$Z$4:$Z$7))+INDEX($AA$4:$AA$7,MATCH($AH74,$Z$4:$Z$7)))))</f>
        <v>9.9902777777777771</v>
      </c>
      <c r="BE74" s="173">
        <f t="shared" ca="1" si="94"/>
        <v>9.9902777777777771</v>
      </c>
      <c r="BF74" s="173">
        <f t="shared" ca="1" si="94"/>
        <v>9.9902777777777771</v>
      </c>
      <c r="BG74" s="173">
        <f t="shared" ca="1" si="94"/>
        <v>9.9902777777777771</v>
      </c>
      <c r="BH74" s="180"/>
      <c r="BI74" s="166">
        <f t="shared" ca="1" si="69"/>
        <v>47.824082051282048</v>
      </c>
      <c r="BJ74" s="167">
        <f t="shared" ref="BJ74:BJ91" ca="1" si="95">IF((INDEX($AA$4:$AA$7,MATCH(INDOOR_1,$Z$4:$Z$7))*(INDEX($X$118:$X$137,MATCH($AD74,$W$118:$W$137,1))/(INDEX($AA$4:$AA$7,MATCH(INDOOR_1,$Z$4:$Z$7))+INDEX($AA$4:$AA$7,MATCH(INDOOR_2,$Z$4:$Z$7))+INDEX($AA$4:$AA$7,MATCH(INDOOR_3,$Z$4:$Z$7))+INDEX($AA$4:$AA$7,MATCH(INDOOR_4,$Z$4:$Z$7)))))
&gt;BP74,BP74,
(INDEX($AA$4:$AA$7,MATCH(INDOOR_1,$Z$4:$Z$7))*(INDEX($X$118:$X$137,MATCH($AD74,$W$118:$W$137,1))/(INDEX($AA$4:$AA$7,MATCH(INDOOR_1,$Z$4:$Z$7))+INDEX($AA$4:$AA$7,MATCH(INDOOR_2,$Z$4:$Z$7))+INDEX($AA$4:$AA$7,MATCH(INDOOR_3,$Z$4:$Z$7))+INDEX($AA$4:$AA$7,MATCH(INDOOR_4,$Z$4:$Z$7))))))</f>
        <v>11.956020512820512</v>
      </c>
      <c r="BK74" s="167">
        <f t="shared" ref="BK74:BK91" ca="1" si="96">IF((INDEX($AA$4:$AA$7,MATCH(INDOOR_2,$Z$4:$Z$7))*(INDEX($X$118:$X$137,MATCH($AD74,$W$118:$W$137,1))/(INDEX($AA$4:$AA$7,MATCH(INDOOR_1,$Z$4:$Z$7))+INDEX($AA$4:$AA$7,MATCH(INDOOR_2,$Z$4:$Z$7))+INDEX($AA$4:$AA$7,MATCH(INDOOR_3,$Z$4:$Z$7))+INDEX($AA$4:$AA$7,MATCH(INDOOR_4,$Z$4:$Z$7)))))
&gt;BQ74,BQ74,
(INDEX($AA$4:$AA$7,MATCH(INDOOR_2,$Z$4:$Z$7))*(INDEX($X$118:$X$137,MATCH($AD74,$W$118:$W$137,1))/(INDEX($AA$4:$AA$7,MATCH(INDOOR_1,$Z$4:$Z$7))+INDEX($AA$4:$AA$7,MATCH(INDOOR_2,$Z$4:$Z$7))+INDEX($AA$4:$AA$7,MATCH(INDOOR_3,$Z$4:$Z$7))+INDEX($AA$4:$AA$7,MATCH(INDOOR_4,$Z$4:$Z$7))))))</f>
        <v>11.956020512820512</v>
      </c>
      <c r="BL74" s="167">
        <f t="shared" ref="BL74:BL91" ca="1" si="97">IF((INDEX($AA$4:$AA$7,MATCH(INDOOR_3,$Z$4:$Z$7))*(INDEX($X$118:$X$137,MATCH($AD74,$W$118:$W$137,1))/(INDEX($AA$4:$AA$7,MATCH(INDOOR_1,$Z$4:$Z$7))+INDEX($AA$4:$AA$7,MATCH(INDOOR_2,$Z$4:$Z$7))+INDEX($AA$4:$AA$7,MATCH(INDOOR_3,$Z$4:$Z$7))+INDEX($AA$4:$AA$7,MATCH(INDOOR_4,$Z$4:$Z$7)))))
&gt;BR74,BR74,
(INDEX($AA$4:$AA$7,MATCH(INDOOR_3,$Z$4:$Z$7))*(INDEX($X$118:$X$137,MATCH($AD74,$W$118:$W$137,1))/(INDEX($AA$4:$AA$7,MATCH(INDOOR_1,$Z$4:$Z$7))+INDEX($AA$4:$AA$7,MATCH(INDOOR_2,$Z$4:$Z$7))+INDEX($AA$4:$AA$7,MATCH(INDOOR_3,$Z$4:$Z$7))+INDEX($AA$4:$AA$7,MATCH(INDOOR_4,$Z$4:$Z$7))))))</f>
        <v>11.956020512820512</v>
      </c>
      <c r="BM74" s="167">
        <f t="shared" ref="BM74:BM91" ca="1" si="98">IF((INDEX($AA$4:$AA$7,MATCH(INDOOR_4,$Z$4:$Z$7))*(INDEX($X$118:$X$137,MATCH($AD74,$W$118:$W$137,1))/(INDEX($AA$4:$AA$7,MATCH(INDOOR_1,$Z$4:$Z$7))+INDEX($AA$4:$AA$7,MATCH(INDOOR_2,$Z$4:$Z$7))+INDEX($AA$4:$AA$7,MATCH(INDOOR_3,$Z$4:$Z$7))+INDEX($AA$4:$AA$7,MATCH(INDOOR_4,$Z$4:$Z$7)))))
&gt;BS74,BS74,
(INDEX($AA$4:$AA$7,MATCH(INDOOR_4,$Z$4:$Z$7))*(INDEX($X$118:$X$137,MATCH($AD74,$W$118:$W$137,1))/(INDEX($AA$4:$AA$7,MATCH(INDOOR_1,$Z$4:$Z$7))+INDEX($AA$4:$AA$7,MATCH(INDOOR_2,$Z$4:$Z$7))+INDEX($AA$4:$AA$7,MATCH(INDOOR_3,$Z$4:$Z$7))+INDEX($AA$4:$AA$7,MATCH(INDOOR_4,$Z$4:$Z$7))))))</f>
        <v>11.956020512820512</v>
      </c>
      <c r="BN74" s="178"/>
      <c r="BO74" s="169">
        <f t="shared" ca="1" si="72"/>
        <v>47.824082051282048</v>
      </c>
      <c r="BP74" s="170">
        <f ca="1">INDEX('Cap based on indoor unit SZ'!$V$43:$V$58,MATCH(AE74,'Cap based on indoor unit SZ'!$U$43:$U$58))</f>
        <v>11.956020512820512</v>
      </c>
      <c r="BQ74" s="170">
        <f ca="1">INDEX('Cap based on indoor unit SZ'!$V$43:$V$58,MATCH(AF74,'Cap based on indoor unit SZ'!$U$43:$U$58))</f>
        <v>11.956020512820512</v>
      </c>
      <c r="BR74" s="170">
        <f ca="1">INDEX('Cap based on indoor unit SZ'!$V$43:$V$58,MATCH(AG74,'Cap based on indoor unit SZ'!$U$43:$U$58))</f>
        <v>11.956020512820512</v>
      </c>
      <c r="BS74" s="170">
        <f ca="1">INDEX('Cap based on indoor unit SZ'!$V$43:$V$58,MATCH(AH74,'Cap based on indoor unit SZ'!$U$43:$U$58))</f>
        <v>11.956020512820512</v>
      </c>
      <c r="BT74" s="179"/>
      <c r="BU74" s="175">
        <v>9500</v>
      </c>
      <c r="BV74" s="175">
        <v>9500</v>
      </c>
      <c r="BW74" s="175">
        <v>9500</v>
      </c>
      <c r="BX74" s="175">
        <v>9500</v>
      </c>
      <c r="BY74" s="179"/>
      <c r="BZ74" s="172">
        <f t="shared" ca="1" si="73"/>
        <v>49.510333333333335</v>
      </c>
      <c r="CA74" s="173">
        <f t="shared" ref="CA74:CA91" ca="1" si="99">(INDEX($AA$4:$AA$7,MATCH(INDOOR_1,$Z$4:$Z$7))*(INDEX($X$118:$X$137,MATCH($AD74,$W$118:$W$137,1))/(INDEX($AA$4:$AA$7,MATCH(INDOOR_1,$Z$4:$Z$7))+INDEX($AA$4:$AA$7,MATCH(INDOOR_2,$Z$4:$Z$7))+INDEX($AA$4:$AA$7,MATCH(INDOOR_3,$Z$4:$Z$7))+INDEX($AA$4:$AA$7,MATCH(INDOOR_4,$Z$4:$Z$7)))))</f>
        <v>12.377583333333334</v>
      </c>
      <c r="CB74" s="173">
        <f t="shared" ref="CB74:CB91" ca="1" si="100">(INDEX($AA$4:$AA$7,MATCH(INDOOR_2,$Z$4:$Z$7))*(INDEX($X$118:$X$137,MATCH($AD74,$W$118:$W$137,1))/(INDEX($AA$4:$AA$7,MATCH(INDOOR_1,$Z$4:$Z$7))+INDEX($AA$4:$AA$7,MATCH(INDOOR_2,$Z$4:$Z$7))+INDEX($AA$4:$AA$7,MATCH(INDOOR_3,$Z$4:$Z$7))+INDEX($AA$4:$AA$7,MATCH(INDOOR_4,$Z$4:$Z$7)))))</f>
        <v>12.377583333333334</v>
      </c>
      <c r="CC74" s="173">
        <f t="shared" ref="CC74:CC91" ca="1" si="101">(INDEX($AA$4:$AA$7,MATCH(INDOOR_3,$Z$4:$Z$7))*(INDEX($X$118:$X$137,MATCH($AD74,$W$118:$W$137,1))/(INDEX($AA$4:$AA$7,MATCH(INDOOR_1,$Z$4:$Z$7))+INDEX($AA$4:$AA$7,MATCH(INDOOR_2,$Z$4:$Z$7))+INDEX($AA$4:$AA$7,MATCH(INDOOR_3,$Z$4:$Z$7))+INDEX($AA$4:$AA$7,MATCH(INDOOR_4,$Z$4:$Z$7)))))</f>
        <v>12.377583333333334</v>
      </c>
      <c r="CD74" s="173">
        <f t="shared" ref="CD74:CD91" ca="1" si="102">(INDEX($AA$4:$AA$7,MATCH(INDOOR_4,$Z$4:$Z$7))*(INDEX($X$118:$X$137,MATCH($AD74,$W$118:$W$137,1))/(INDEX($AA$4:$AA$7,MATCH(INDOOR_1,$Z$4:$Z$7))+INDEX($AA$4:$AA$7,MATCH(INDOOR_2,$Z$4:$Z$7))+INDEX($AA$4:$AA$7,MATCH(INDOOR_3,$Z$4:$Z$7))+INDEX($AA$4:$AA$7,MATCH(INDOOR_4,$Z$4:$Z$7)))))</f>
        <v>12.377583333333334</v>
      </c>
      <c r="CE74" s="180"/>
      <c r="CF74" s="166">
        <f t="shared" ca="1" si="76"/>
        <v>31.870137984601513</v>
      </c>
      <c r="CG74" s="167">
        <f t="shared" ca="1" si="77"/>
        <v>7.9675344961503782</v>
      </c>
      <c r="CH74" s="167">
        <f t="shared" ca="1" si="77"/>
        <v>7.9675344961503782</v>
      </c>
      <c r="CI74" s="167">
        <f t="shared" ca="1" si="77"/>
        <v>7.9675344961503782</v>
      </c>
      <c r="CJ74" s="167">
        <f t="shared" ca="1" si="77"/>
        <v>7.9675344961503782</v>
      </c>
      <c r="CK74" s="178"/>
    </row>
    <row r="75" spans="2:89">
      <c r="B75" s="188">
        <v>30</v>
      </c>
      <c r="C75" s="189">
        <v>69.8</v>
      </c>
      <c r="D75" s="189">
        <v>59</v>
      </c>
      <c r="E75" s="190" t="s">
        <v>109</v>
      </c>
      <c r="F75" s="219">
        <f t="shared" si="88"/>
        <v>0.69990529021783254</v>
      </c>
      <c r="G75" s="220">
        <f t="shared" si="88"/>
        <v>0.69993381866313698</v>
      </c>
      <c r="H75" s="220">
        <f t="shared" si="88"/>
        <v>0.700106016432547</v>
      </c>
      <c r="I75" s="220">
        <f t="shared" si="88"/>
        <v>0.69997339010111759</v>
      </c>
      <c r="J75" s="220">
        <f t="shared" si="88"/>
        <v>0.70011947431302268</v>
      </c>
      <c r="K75" s="220">
        <f t="shared" si="88"/>
        <v>0.72652902220490845</v>
      </c>
      <c r="L75" s="219">
        <f t="shared" si="88"/>
        <v>0.77537459283387633</v>
      </c>
      <c r="M75" s="219">
        <f t="shared" si="88"/>
        <v>0.79044368600682602</v>
      </c>
      <c r="N75" s="219">
        <f t="shared" si="88"/>
        <v>0.80902277313346782</v>
      </c>
      <c r="O75" s="219">
        <f t="shared" si="88"/>
        <v>0.92077531050056449</v>
      </c>
      <c r="P75" s="219">
        <f t="shared" si="88"/>
        <v>0.98045602605863191</v>
      </c>
      <c r="Q75" s="221">
        <f t="shared" si="88"/>
        <v>0.97706947947718414</v>
      </c>
      <c r="R75" s="222">
        <f t="shared" ca="1" si="89"/>
        <v>0.80902277313346782</v>
      </c>
      <c r="S75" s="145"/>
      <c r="T75" s="145"/>
      <c r="U75" s="146" t="s">
        <v>96</v>
      </c>
      <c r="V75" s="150">
        <f ca="1">FORECAST(INDOOR_DB,OFFSET(R75:R78,MATCH(INDOOR_DB,C75:C78,1)-1,0,2),OFFSET(C75:C78,MATCH(INDOOR_DB,C75:C78,1)-1,0,2))</f>
        <v>0.77501213111106493</v>
      </c>
      <c r="W75" s="145">
        <f>B75</f>
        <v>30</v>
      </c>
      <c r="X75" s="150">
        <f ca="1">IF(OR(INDOOR_DB&lt;C75,INDOOR_DB&gt;C78),V77,V75)</f>
        <v>0.77501213111106493</v>
      </c>
      <c r="AC75" s="164" t="s">
        <v>161</v>
      </c>
      <c r="AD75" s="164">
        <v>36</v>
      </c>
      <c r="AE75" s="165">
        <v>9</v>
      </c>
      <c r="AF75" s="165">
        <v>9</v>
      </c>
      <c r="AG75" s="165">
        <v>9</v>
      </c>
      <c r="AH75" s="164">
        <v>12</v>
      </c>
      <c r="AI75" s="164"/>
      <c r="AJ75" s="501"/>
      <c r="AK75" s="166">
        <f t="shared" ca="1" si="61"/>
        <v>39.961111111111109</v>
      </c>
      <c r="AL75" s="167">
        <f t="shared" ca="1" si="90"/>
        <v>9.2217948717948719</v>
      </c>
      <c r="AM75" s="167">
        <f t="shared" ca="1" si="91"/>
        <v>9.2217948717948719</v>
      </c>
      <c r="AN75" s="167">
        <f t="shared" ca="1" si="92"/>
        <v>9.2217948717948719</v>
      </c>
      <c r="AO75" s="167">
        <f t="shared" ca="1" si="93"/>
        <v>12.295726495726495</v>
      </c>
      <c r="AP75" s="178"/>
      <c r="AQ75" s="169">
        <f t="shared" ca="1" si="64"/>
        <v>44.468222222222224</v>
      </c>
      <c r="AR75" s="170">
        <f ca="1">INDEX('Cap based on indoor unit SZ'!$J$6:$J$21,MATCH(AE75,'Cap based on indoor unit SZ'!$I$6:$I$21))</f>
        <v>10.463111111111111</v>
      </c>
      <c r="AS75" s="170">
        <f ca="1">INDEX('Cap based on indoor unit SZ'!$J$6:$J$21,MATCH(AF75,'Cap based on indoor unit SZ'!$I$6:$I$21))</f>
        <v>10.463111111111111</v>
      </c>
      <c r="AT75" s="170">
        <f ca="1">INDEX('Cap based on indoor unit SZ'!$J$6:$J$21,MATCH(AG75,'Cap based on indoor unit SZ'!$I$6:$I$21))</f>
        <v>10.463111111111111</v>
      </c>
      <c r="AU75" s="170">
        <f ca="1">INDEX('Cap based on indoor unit SZ'!$J$6:$J$21,MATCH(AH75,'Cap based on indoor unit SZ'!$I$6:$I$21))</f>
        <v>13.078888888888891</v>
      </c>
      <c r="AV75" s="179"/>
      <c r="AW75" s="169">
        <f t="shared" si="65"/>
        <v>39</v>
      </c>
      <c r="AX75" s="170">
        <v>9</v>
      </c>
      <c r="AY75" s="170">
        <v>9</v>
      </c>
      <c r="AZ75" s="170">
        <v>9</v>
      </c>
      <c r="BA75" s="170">
        <v>12</v>
      </c>
      <c r="BB75" s="179"/>
      <c r="BC75" s="172">
        <f t="shared" ca="1" si="66"/>
        <v>39.961111111111109</v>
      </c>
      <c r="BD75" s="173">
        <f t="shared" ca="1" si="94"/>
        <v>9.2217948717948719</v>
      </c>
      <c r="BE75" s="173">
        <f t="shared" ca="1" si="94"/>
        <v>9.2217948717948719</v>
      </c>
      <c r="BF75" s="173">
        <f t="shared" ca="1" si="94"/>
        <v>9.2217948717948719</v>
      </c>
      <c r="BG75" s="173">
        <f t="shared" ca="1" si="94"/>
        <v>12.295726495726495</v>
      </c>
      <c r="BH75" s="180"/>
      <c r="BI75" s="166">
        <f t="shared" ca="1" si="69"/>
        <v>49.221410256410266</v>
      </c>
      <c r="BJ75" s="167">
        <f t="shared" ca="1" si="95"/>
        <v>11.425461538461541</v>
      </c>
      <c r="BK75" s="167">
        <f t="shared" ca="1" si="96"/>
        <v>11.425461538461541</v>
      </c>
      <c r="BL75" s="167">
        <f t="shared" ca="1" si="97"/>
        <v>11.425461538461541</v>
      </c>
      <c r="BM75" s="167">
        <f t="shared" ca="1" si="98"/>
        <v>14.945025641025641</v>
      </c>
      <c r="BN75" s="178"/>
      <c r="BO75" s="169">
        <f t="shared" ca="1" si="72"/>
        <v>50.813087179487169</v>
      </c>
      <c r="BP75" s="170">
        <f ca="1">INDEX('Cap based on indoor unit SZ'!$V$43:$V$58,MATCH(AE75,'Cap based on indoor unit SZ'!$U$43:$U$58))</f>
        <v>11.956020512820512</v>
      </c>
      <c r="BQ75" s="170">
        <f ca="1">INDEX('Cap based on indoor unit SZ'!$V$43:$V$58,MATCH(AF75,'Cap based on indoor unit SZ'!$U$43:$U$58))</f>
        <v>11.956020512820512</v>
      </c>
      <c r="BR75" s="170">
        <f ca="1">INDEX('Cap based on indoor unit SZ'!$V$43:$V$58,MATCH(AG75,'Cap based on indoor unit SZ'!$U$43:$U$58))</f>
        <v>11.956020512820512</v>
      </c>
      <c r="BS75" s="170">
        <f ca="1">INDEX('Cap based on indoor unit SZ'!$V$43:$V$58,MATCH(AH75,'Cap based on indoor unit SZ'!$U$43:$U$58))</f>
        <v>14.945025641025641</v>
      </c>
      <c r="BT75" s="179"/>
      <c r="BU75" s="175">
        <v>9500</v>
      </c>
      <c r="BV75" s="175">
        <v>9500</v>
      </c>
      <c r="BW75" s="175">
        <v>9500</v>
      </c>
      <c r="BX75" s="175">
        <v>12500</v>
      </c>
      <c r="BY75" s="179"/>
      <c r="BZ75" s="172">
        <f t="shared" ca="1" si="73"/>
        <v>49.510333333333342</v>
      </c>
      <c r="CA75" s="173">
        <f t="shared" ca="1" si="99"/>
        <v>11.425461538461541</v>
      </c>
      <c r="CB75" s="173">
        <f t="shared" ca="1" si="100"/>
        <v>11.425461538461541</v>
      </c>
      <c r="CC75" s="173">
        <f t="shared" ca="1" si="101"/>
        <v>11.425461538461541</v>
      </c>
      <c r="CD75" s="173">
        <f t="shared" ca="1" si="102"/>
        <v>15.233948717948721</v>
      </c>
      <c r="CE75" s="180"/>
      <c r="CF75" s="166">
        <f t="shared" ca="1" si="76"/>
        <v>31.870137984601513</v>
      </c>
      <c r="CG75" s="167">
        <f t="shared" ca="1" si="77"/>
        <v>7.3546472272157342</v>
      </c>
      <c r="CH75" s="167">
        <f t="shared" ca="1" si="77"/>
        <v>7.3546472272157342</v>
      </c>
      <c r="CI75" s="167">
        <f t="shared" ca="1" si="77"/>
        <v>7.3546472272157342</v>
      </c>
      <c r="CJ75" s="167">
        <f t="shared" ca="1" si="77"/>
        <v>9.8061963029543122</v>
      </c>
      <c r="CK75" s="178"/>
    </row>
    <row r="76" spans="2:89">
      <c r="B76" s="196">
        <v>30</v>
      </c>
      <c r="C76" s="197">
        <v>75.2</v>
      </c>
      <c r="D76" s="197">
        <v>62.6</v>
      </c>
      <c r="E76" s="198" t="s">
        <v>109</v>
      </c>
      <c r="F76" s="223">
        <f t="shared" si="88"/>
        <v>0.70021019442984755</v>
      </c>
      <c r="G76" s="224">
        <f t="shared" si="88"/>
        <v>0.70016707364092023</v>
      </c>
      <c r="H76" s="224">
        <f t="shared" si="88"/>
        <v>0.69985848449761989</v>
      </c>
      <c r="I76" s="224">
        <f t="shared" si="88"/>
        <v>0.69994833376388543</v>
      </c>
      <c r="J76" s="224">
        <f t="shared" si="88"/>
        <v>0.69996133522361126</v>
      </c>
      <c r="K76" s="224">
        <f t="shared" si="88"/>
        <v>0.75000000000000011</v>
      </c>
      <c r="L76" s="223">
        <f t="shared" si="88"/>
        <v>0.81996993234778259</v>
      </c>
      <c r="M76" s="223">
        <f t="shared" si="88"/>
        <v>0.88004045000632025</v>
      </c>
      <c r="N76" s="223">
        <f t="shared" si="88"/>
        <v>0.90004003736821026</v>
      </c>
      <c r="O76" s="223">
        <f t="shared" si="88"/>
        <v>0.92002090956612648</v>
      </c>
      <c r="P76" s="223">
        <f t="shared" si="88"/>
        <v>0.95022624434389136</v>
      </c>
      <c r="Q76" s="225">
        <f t="shared" si="88"/>
        <v>0.98004246284501051</v>
      </c>
      <c r="R76" s="226">
        <f t="shared" ca="1" si="89"/>
        <v>0.90004003736821026</v>
      </c>
      <c r="S76" s="152"/>
      <c r="T76" s="152"/>
      <c r="U76" s="146"/>
      <c r="V76" s="151"/>
      <c r="W76" s="145"/>
      <c r="X76" s="227"/>
      <c r="AC76" s="164" t="s">
        <v>160</v>
      </c>
      <c r="AD76" s="164">
        <v>36</v>
      </c>
      <c r="AE76" s="165">
        <v>9</v>
      </c>
      <c r="AF76" s="165">
        <v>9</v>
      </c>
      <c r="AG76" s="165">
        <v>9</v>
      </c>
      <c r="AH76" s="164">
        <v>18</v>
      </c>
      <c r="AI76" s="164"/>
      <c r="AJ76" s="501"/>
      <c r="AK76" s="166">
        <f t="shared" ca="1" si="61"/>
        <v>39.961111111111109</v>
      </c>
      <c r="AL76" s="167">
        <f t="shared" ca="1" si="90"/>
        <v>7.9922222222222219</v>
      </c>
      <c r="AM76" s="167">
        <f t="shared" ca="1" si="91"/>
        <v>7.9922222222222219</v>
      </c>
      <c r="AN76" s="167">
        <f t="shared" ca="1" si="92"/>
        <v>7.9922222222222219</v>
      </c>
      <c r="AO76" s="167">
        <f t="shared" ca="1" si="93"/>
        <v>15.984444444444444</v>
      </c>
      <c r="AP76" s="178"/>
      <c r="AQ76" s="169">
        <f t="shared" ca="1" si="64"/>
        <v>51.210444444444448</v>
      </c>
      <c r="AR76" s="170">
        <f ca="1">INDEX('Cap based on indoor unit SZ'!$J$6:$J$21,MATCH(AE76,'Cap based on indoor unit SZ'!$I$6:$I$21))</f>
        <v>10.463111111111111</v>
      </c>
      <c r="AS76" s="170">
        <f ca="1">INDEX('Cap based on indoor unit SZ'!$J$6:$J$21,MATCH(AF76,'Cap based on indoor unit SZ'!$I$6:$I$21))</f>
        <v>10.463111111111111</v>
      </c>
      <c r="AT76" s="170">
        <f ca="1">INDEX('Cap based on indoor unit SZ'!$J$6:$J$21,MATCH(AG76,'Cap based on indoor unit SZ'!$I$6:$I$21))</f>
        <v>10.463111111111111</v>
      </c>
      <c r="AU76" s="170">
        <f ca="1">INDEX('Cap based on indoor unit SZ'!$J$6:$J$21,MATCH(AH76,'Cap based on indoor unit SZ'!$I$6:$I$21))</f>
        <v>19.821111111111112</v>
      </c>
      <c r="AV76" s="179"/>
      <c r="AW76" s="169">
        <f t="shared" si="65"/>
        <v>44</v>
      </c>
      <c r="AX76" s="170">
        <v>9</v>
      </c>
      <c r="AY76" s="170">
        <v>9</v>
      </c>
      <c r="AZ76" s="170">
        <v>9</v>
      </c>
      <c r="BA76" s="170">
        <v>17</v>
      </c>
      <c r="BB76" s="179"/>
      <c r="BC76" s="172">
        <f t="shared" ca="1" si="66"/>
        <v>39.961111111111109</v>
      </c>
      <c r="BD76" s="173">
        <f t="shared" ca="1" si="94"/>
        <v>7.9922222222222219</v>
      </c>
      <c r="BE76" s="173">
        <f t="shared" ca="1" si="94"/>
        <v>7.9922222222222219</v>
      </c>
      <c r="BF76" s="173">
        <f t="shared" ca="1" si="94"/>
        <v>7.9922222222222219</v>
      </c>
      <c r="BG76" s="173">
        <f t="shared" ca="1" si="94"/>
        <v>15.984444444444444</v>
      </c>
      <c r="BH76" s="180"/>
      <c r="BI76" s="166">
        <f t="shared" ca="1" si="69"/>
        <v>49.510333333333335</v>
      </c>
      <c r="BJ76" s="167">
        <f t="shared" ca="1" si="95"/>
        <v>9.9020666666666664</v>
      </c>
      <c r="BK76" s="167">
        <f t="shared" ca="1" si="96"/>
        <v>9.9020666666666664</v>
      </c>
      <c r="BL76" s="167">
        <f t="shared" ca="1" si="97"/>
        <v>9.9020666666666664</v>
      </c>
      <c r="BM76" s="167">
        <f t="shared" ca="1" si="98"/>
        <v>19.804133333333333</v>
      </c>
      <c r="BN76" s="178"/>
      <c r="BO76" s="169">
        <f t="shared" ca="1" si="72"/>
        <v>60.466882051282042</v>
      </c>
      <c r="BP76" s="170">
        <f ca="1">INDEX('Cap based on indoor unit SZ'!$V$43:$V$58,MATCH(AE76,'Cap based on indoor unit SZ'!$U$43:$U$58))</f>
        <v>11.956020512820512</v>
      </c>
      <c r="BQ76" s="170">
        <f ca="1">INDEX('Cap based on indoor unit SZ'!$V$43:$V$58,MATCH(AF76,'Cap based on indoor unit SZ'!$U$43:$U$58))</f>
        <v>11.956020512820512</v>
      </c>
      <c r="BR76" s="170">
        <f ca="1">INDEX('Cap based on indoor unit SZ'!$V$43:$V$58,MATCH(AG76,'Cap based on indoor unit SZ'!$U$43:$U$58))</f>
        <v>11.956020512820512</v>
      </c>
      <c r="BS76" s="170">
        <f ca="1">INDEX('Cap based on indoor unit SZ'!$V$43:$V$58,MATCH(AH76,'Cap based on indoor unit SZ'!$U$43:$U$58))</f>
        <v>24.598820512820513</v>
      </c>
      <c r="BT76" s="179"/>
      <c r="BU76" s="175">
        <v>9500</v>
      </c>
      <c r="BV76" s="175">
        <v>9500</v>
      </c>
      <c r="BW76" s="175">
        <v>9500</v>
      </c>
      <c r="BX76" s="175">
        <v>17500</v>
      </c>
      <c r="BY76" s="179"/>
      <c r="BZ76" s="172">
        <f t="shared" ca="1" si="73"/>
        <v>49.510333333333335</v>
      </c>
      <c r="CA76" s="173">
        <f t="shared" ca="1" si="99"/>
        <v>9.9020666666666664</v>
      </c>
      <c r="CB76" s="173">
        <f t="shared" ca="1" si="100"/>
        <v>9.9020666666666664</v>
      </c>
      <c r="CC76" s="173">
        <f t="shared" ca="1" si="101"/>
        <v>9.9020666666666664</v>
      </c>
      <c r="CD76" s="173">
        <f t="shared" ca="1" si="102"/>
        <v>19.804133333333333</v>
      </c>
      <c r="CE76" s="180"/>
      <c r="CF76" s="166">
        <f t="shared" ca="1" si="76"/>
        <v>31.870137984601516</v>
      </c>
      <c r="CG76" s="167">
        <f t="shared" ca="1" si="77"/>
        <v>6.3740275969203033</v>
      </c>
      <c r="CH76" s="167">
        <f t="shared" ca="1" si="77"/>
        <v>6.3740275969203033</v>
      </c>
      <c r="CI76" s="167">
        <f t="shared" ca="1" si="77"/>
        <v>6.3740275969203033</v>
      </c>
      <c r="CJ76" s="167">
        <f t="shared" ca="1" si="77"/>
        <v>12.748055193840607</v>
      </c>
      <c r="CK76" s="178"/>
    </row>
    <row r="77" spans="2:89">
      <c r="B77" s="196">
        <v>30</v>
      </c>
      <c r="C77" s="197">
        <v>80.599999999999994</v>
      </c>
      <c r="D77" s="197">
        <v>66.2</v>
      </c>
      <c r="E77" s="198" t="s">
        <v>109</v>
      </c>
      <c r="F77" s="223">
        <f t="shared" si="88"/>
        <v>0.69999999999999984</v>
      </c>
      <c r="G77" s="224">
        <f t="shared" si="88"/>
        <v>0.70004837929366226</v>
      </c>
      <c r="H77" s="224">
        <f t="shared" si="88"/>
        <v>0.69998794163752553</v>
      </c>
      <c r="I77" s="224">
        <f t="shared" si="88"/>
        <v>0.69669490514258436</v>
      </c>
      <c r="J77" s="224">
        <f t="shared" si="88"/>
        <v>0.70004808848280831</v>
      </c>
      <c r="K77" s="224">
        <f t="shared" si="88"/>
        <v>0.72557971885137584</v>
      </c>
      <c r="L77" s="223">
        <f t="shared" si="88"/>
        <v>0.75887556040227788</v>
      </c>
      <c r="M77" s="223">
        <f t="shared" si="88"/>
        <v>0.74415388483781753</v>
      </c>
      <c r="N77" s="223">
        <f t="shared" si="88"/>
        <v>0.75938364282892123</v>
      </c>
      <c r="O77" s="223">
        <f t="shared" si="88"/>
        <v>0.8542615484710474</v>
      </c>
      <c r="P77" s="223">
        <f t="shared" si="88"/>
        <v>0.97621940635306359</v>
      </c>
      <c r="Q77" s="225">
        <f t="shared" si="88"/>
        <v>0.98531139835487658</v>
      </c>
      <c r="R77" s="226">
        <f t="shared" ca="1" si="89"/>
        <v>0.75938364282892135</v>
      </c>
      <c r="S77" s="152"/>
      <c r="T77" s="152"/>
      <c r="U77" s="146" t="s">
        <v>97</v>
      </c>
      <c r="V77" s="150">
        <f ca="1">TREND(R75:R78,C75:C78,INDOOR_DB)</f>
        <v>0.84525115993831001</v>
      </c>
      <c r="W77" s="145"/>
      <c r="X77" s="227"/>
      <c r="AC77" s="164" t="s">
        <v>159</v>
      </c>
      <c r="AD77" s="164">
        <v>36</v>
      </c>
      <c r="AE77" s="165">
        <v>9</v>
      </c>
      <c r="AF77" s="165">
        <v>9</v>
      </c>
      <c r="AG77" s="165">
        <v>9</v>
      </c>
      <c r="AH77" s="164">
        <v>24</v>
      </c>
      <c r="AI77" s="164"/>
      <c r="AJ77" s="501"/>
      <c r="AK77" s="166">
        <f t="shared" ca="1" si="61"/>
        <v>39.961111111111109</v>
      </c>
      <c r="AL77" s="167">
        <f t="shared" ca="1" si="90"/>
        <v>7.0519607843137262</v>
      </c>
      <c r="AM77" s="167">
        <f t="shared" ca="1" si="91"/>
        <v>7.0519607843137262</v>
      </c>
      <c r="AN77" s="167">
        <f t="shared" ca="1" si="92"/>
        <v>7.0519607843137262</v>
      </c>
      <c r="AO77" s="167">
        <f t="shared" ca="1" si="93"/>
        <v>18.805228758169935</v>
      </c>
      <c r="AP77" s="178"/>
      <c r="AQ77" s="169">
        <f t="shared" ca="1" si="64"/>
        <v>55.841555555555551</v>
      </c>
      <c r="AR77" s="170">
        <f ca="1">INDEX('Cap based on indoor unit SZ'!$J$6:$J$21,MATCH(AE77,'Cap based on indoor unit SZ'!$I$6:$I$21))</f>
        <v>10.463111111111111</v>
      </c>
      <c r="AS77" s="170">
        <f ca="1">INDEX('Cap based on indoor unit SZ'!$J$6:$J$21,MATCH(AF77,'Cap based on indoor unit SZ'!$I$6:$I$21))</f>
        <v>10.463111111111111</v>
      </c>
      <c r="AT77" s="170">
        <f ca="1">INDEX('Cap based on indoor unit SZ'!$J$6:$J$21,MATCH(AG77,'Cap based on indoor unit SZ'!$I$6:$I$21))</f>
        <v>10.463111111111111</v>
      </c>
      <c r="AU77" s="170">
        <f ca="1">INDEX('Cap based on indoor unit SZ'!$J$6:$J$21,MATCH(AH77,'Cap based on indoor unit SZ'!$I$6:$I$21))</f>
        <v>24.452222222222218</v>
      </c>
      <c r="AV77" s="179"/>
      <c r="AW77" s="169">
        <f t="shared" si="65"/>
        <v>46</v>
      </c>
      <c r="AX77" s="170">
        <v>8.5</v>
      </c>
      <c r="AY77" s="170">
        <v>8.5</v>
      </c>
      <c r="AZ77" s="170">
        <v>8.5</v>
      </c>
      <c r="BA77" s="170">
        <v>20.5</v>
      </c>
      <c r="BB77" s="179"/>
      <c r="BC77" s="172">
        <f t="shared" ca="1" si="66"/>
        <v>39.961111111111109</v>
      </c>
      <c r="BD77" s="173">
        <f t="shared" ca="1" si="94"/>
        <v>7.0519607843137262</v>
      </c>
      <c r="BE77" s="173">
        <f t="shared" ca="1" si="94"/>
        <v>7.0519607843137262</v>
      </c>
      <c r="BF77" s="173">
        <f t="shared" ca="1" si="94"/>
        <v>7.0519607843137262</v>
      </c>
      <c r="BG77" s="173">
        <f t="shared" ca="1" si="94"/>
        <v>18.805228758169935</v>
      </c>
      <c r="BH77" s="180"/>
      <c r="BI77" s="166">
        <f t="shared" ca="1" si="69"/>
        <v>49.51033333333335</v>
      </c>
      <c r="BJ77" s="167">
        <f t="shared" ca="1" si="95"/>
        <v>8.7371176470588257</v>
      </c>
      <c r="BK77" s="167">
        <f t="shared" ca="1" si="96"/>
        <v>8.7371176470588257</v>
      </c>
      <c r="BL77" s="167">
        <f t="shared" ca="1" si="97"/>
        <v>8.7371176470588257</v>
      </c>
      <c r="BM77" s="167">
        <f t="shared" ca="1" si="98"/>
        <v>23.298980392156867</v>
      </c>
      <c r="BN77" s="178"/>
      <c r="BO77" s="169">
        <f t="shared" ca="1" si="72"/>
        <v>66.158061538461538</v>
      </c>
      <c r="BP77" s="170">
        <f ca="1">INDEX('Cap based on indoor unit SZ'!$V$43:$V$58,MATCH(AE77,'Cap based on indoor unit SZ'!$U$43:$U$58))</f>
        <v>11.956020512820512</v>
      </c>
      <c r="BQ77" s="170">
        <f ca="1">INDEX('Cap based on indoor unit SZ'!$V$43:$V$58,MATCH(AF77,'Cap based on indoor unit SZ'!$U$43:$U$58))</f>
        <v>11.956020512820512</v>
      </c>
      <c r="BR77" s="170">
        <f ca="1">INDEX('Cap based on indoor unit SZ'!$V$43:$V$58,MATCH(AG77,'Cap based on indoor unit SZ'!$U$43:$U$58))</f>
        <v>11.956020512820512</v>
      </c>
      <c r="BS77" s="170">
        <f ca="1">INDEX('Cap based on indoor unit SZ'!$V$43:$V$58,MATCH(AH77,'Cap based on indoor unit SZ'!$U$43:$U$58))</f>
        <v>30.290000000000003</v>
      </c>
      <c r="BT77" s="179"/>
      <c r="BU77" s="175">
        <v>9000</v>
      </c>
      <c r="BV77" s="175">
        <v>9000</v>
      </c>
      <c r="BW77" s="175">
        <v>9000</v>
      </c>
      <c r="BX77" s="175">
        <v>21000</v>
      </c>
      <c r="BY77" s="179"/>
      <c r="BZ77" s="172">
        <f t="shared" ca="1" si="73"/>
        <v>49.51033333333335</v>
      </c>
      <c r="CA77" s="173">
        <f t="shared" ca="1" si="99"/>
        <v>8.7371176470588257</v>
      </c>
      <c r="CB77" s="173">
        <f t="shared" ca="1" si="100"/>
        <v>8.7371176470588257</v>
      </c>
      <c r="CC77" s="173">
        <f t="shared" ca="1" si="101"/>
        <v>8.7371176470588257</v>
      </c>
      <c r="CD77" s="173">
        <f t="shared" ca="1" si="102"/>
        <v>23.298980392156867</v>
      </c>
      <c r="CE77" s="180"/>
      <c r="CF77" s="166">
        <f t="shared" ca="1" si="76"/>
        <v>31.870137984601516</v>
      </c>
      <c r="CG77" s="167">
        <f t="shared" ca="1" si="77"/>
        <v>5.6241419972826208</v>
      </c>
      <c r="CH77" s="167">
        <f t="shared" ca="1" si="77"/>
        <v>5.6241419972826208</v>
      </c>
      <c r="CI77" s="167">
        <f t="shared" ca="1" si="77"/>
        <v>5.6241419972826208</v>
      </c>
      <c r="CJ77" s="167">
        <f t="shared" ca="1" si="77"/>
        <v>14.997711992753654</v>
      </c>
      <c r="CK77" s="178"/>
    </row>
    <row r="78" spans="2:89" ht="14.4" thickBot="1">
      <c r="B78" s="204">
        <v>30</v>
      </c>
      <c r="C78" s="205">
        <v>89.6</v>
      </c>
      <c r="D78" s="205">
        <v>73.400000000000006</v>
      </c>
      <c r="E78" s="206" t="s">
        <v>109</v>
      </c>
      <c r="F78" s="228">
        <f t="shared" si="88"/>
        <v>0.70009157509157505</v>
      </c>
      <c r="G78" s="229">
        <f t="shared" si="88"/>
        <v>0.70007839623698065</v>
      </c>
      <c r="H78" s="229">
        <f t="shared" si="88"/>
        <v>0.70008932559178205</v>
      </c>
      <c r="I78" s="229">
        <f t="shared" si="88"/>
        <v>0.69992266047950502</v>
      </c>
      <c r="J78" s="229">
        <f t="shared" si="88"/>
        <v>0.70002226179875326</v>
      </c>
      <c r="K78" s="229">
        <f t="shared" si="88"/>
        <v>0.74991656469017687</v>
      </c>
      <c r="L78" s="228">
        <f t="shared" si="88"/>
        <v>0.82003814652754414</v>
      </c>
      <c r="M78" s="228">
        <f t="shared" si="88"/>
        <v>0.87997671711292202</v>
      </c>
      <c r="N78" s="228">
        <f t="shared" si="88"/>
        <v>0.89989025728569694</v>
      </c>
      <c r="O78" s="228">
        <f t="shared" si="88"/>
        <v>0.92001807501129684</v>
      </c>
      <c r="P78" s="228">
        <f t="shared" si="88"/>
        <v>0.95001607200257154</v>
      </c>
      <c r="Q78" s="230">
        <f t="shared" si="88"/>
        <v>1</v>
      </c>
      <c r="R78" s="231">
        <f t="shared" ca="1" si="89"/>
        <v>0.89989025728569705</v>
      </c>
      <c r="S78" s="152"/>
      <c r="T78" s="152"/>
      <c r="U78" s="146"/>
      <c r="V78" s="227"/>
      <c r="W78" s="152"/>
      <c r="X78" s="227"/>
      <c r="AC78" s="164" t="s">
        <v>158</v>
      </c>
      <c r="AD78" s="164">
        <v>36</v>
      </c>
      <c r="AE78" s="165">
        <v>9</v>
      </c>
      <c r="AF78" s="165">
        <v>9</v>
      </c>
      <c r="AG78" s="165">
        <v>12</v>
      </c>
      <c r="AH78" s="164">
        <v>12</v>
      </c>
      <c r="AI78" s="164"/>
      <c r="AJ78" s="501"/>
      <c r="AK78" s="166">
        <f t="shared" ca="1" si="61"/>
        <v>39.961111111111109</v>
      </c>
      <c r="AL78" s="167">
        <f t="shared" ca="1" si="90"/>
        <v>8.5630952380952383</v>
      </c>
      <c r="AM78" s="167">
        <f t="shared" ca="1" si="91"/>
        <v>8.5630952380952383</v>
      </c>
      <c r="AN78" s="167">
        <f t="shared" ca="1" si="92"/>
        <v>11.417460317460318</v>
      </c>
      <c r="AO78" s="167">
        <f t="shared" ca="1" si="93"/>
        <v>11.417460317460318</v>
      </c>
      <c r="AP78" s="178"/>
      <c r="AQ78" s="169">
        <f t="shared" ca="1" si="64"/>
        <v>47.084000000000003</v>
      </c>
      <c r="AR78" s="170">
        <f ca="1">INDEX('Cap based on indoor unit SZ'!$J$6:$J$21,MATCH(AE78,'Cap based on indoor unit SZ'!$I$6:$I$21))</f>
        <v>10.463111111111111</v>
      </c>
      <c r="AS78" s="170">
        <f ca="1">INDEX('Cap based on indoor unit SZ'!$J$6:$J$21,MATCH(AF78,'Cap based on indoor unit SZ'!$I$6:$I$21))</f>
        <v>10.463111111111111</v>
      </c>
      <c r="AT78" s="170">
        <f ca="1">INDEX('Cap based on indoor unit SZ'!$J$6:$J$21,MATCH(AG78,'Cap based on indoor unit SZ'!$I$6:$I$21))</f>
        <v>13.078888888888891</v>
      </c>
      <c r="AU78" s="170">
        <f ca="1">INDEX('Cap based on indoor unit SZ'!$J$6:$J$21,MATCH(AH78,'Cap based on indoor unit SZ'!$I$6:$I$21))</f>
        <v>13.078888888888891</v>
      </c>
      <c r="AV78" s="179"/>
      <c r="AW78" s="169">
        <f t="shared" si="65"/>
        <v>42</v>
      </c>
      <c r="AX78" s="170">
        <v>9</v>
      </c>
      <c r="AY78" s="170">
        <v>9</v>
      </c>
      <c r="AZ78" s="170">
        <v>12</v>
      </c>
      <c r="BA78" s="170">
        <v>12</v>
      </c>
      <c r="BB78" s="179"/>
      <c r="BC78" s="172">
        <f t="shared" ca="1" si="66"/>
        <v>39.961111111111109</v>
      </c>
      <c r="BD78" s="173">
        <f t="shared" ca="1" si="94"/>
        <v>8.5630952380952383</v>
      </c>
      <c r="BE78" s="173">
        <f t="shared" ca="1" si="94"/>
        <v>8.5630952380952383</v>
      </c>
      <c r="BF78" s="173">
        <f t="shared" ca="1" si="94"/>
        <v>11.417460317460318</v>
      </c>
      <c r="BG78" s="173">
        <f t="shared" ca="1" si="94"/>
        <v>11.417460317460318</v>
      </c>
      <c r="BH78" s="180"/>
      <c r="BI78" s="166">
        <f t="shared" ca="1" si="69"/>
        <v>49.510333333333342</v>
      </c>
      <c r="BJ78" s="167">
        <f t="shared" ca="1" si="95"/>
        <v>10.609357142857144</v>
      </c>
      <c r="BK78" s="167">
        <f t="shared" ca="1" si="96"/>
        <v>10.609357142857144</v>
      </c>
      <c r="BL78" s="167">
        <f t="shared" ca="1" si="97"/>
        <v>14.145809523809525</v>
      </c>
      <c r="BM78" s="167">
        <f t="shared" ca="1" si="98"/>
        <v>14.145809523809525</v>
      </c>
      <c r="BN78" s="178"/>
      <c r="BO78" s="169">
        <f t="shared" ca="1" si="72"/>
        <v>53.802092307692305</v>
      </c>
      <c r="BP78" s="170">
        <f ca="1">INDEX('Cap based on indoor unit SZ'!$V$43:$V$58,MATCH(AE78,'Cap based on indoor unit SZ'!$U$43:$U$58))</f>
        <v>11.956020512820512</v>
      </c>
      <c r="BQ78" s="170">
        <f ca="1">INDEX('Cap based on indoor unit SZ'!$V$43:$V$58,MATCH(AF78,'Cap based on indoor unit SZ'!$U$43:$U$58))</f>
        <v>11.956020512820512</v>
      </c>
      <c r="BR78" s="170">
        <f ca="1">INDEX('Cap based on indoor unit SZ'!$V$43:$V$58,MATCH(AG78,'Cap based on indoor unit SZ'!$U$43:$U$58))</f>
        <v>14.945025641025641</v>
      </c>
      <c r="BS78" s="170">
        <f ca="1">INDEX('Cap based on indoor unit SZ'!$V$43:$V$58,MATCH(AH78,'Cap based on indoor unit SZ'!$U$43:$U$58))</f>
        <v>14.945025641025641</v>
      </c>
      <c r="BT78" s="179"/>
      <c r="BU78" s="175">
        <v>9500</v>
      </c>
      <c r="BV78" s="175">
        <v>9500</v>
      </c>
      <c r="BW78" s="175">
        <v>13000</v>
      </c>
      <c r="BX78" s="175">
        <v>13000</v>
      </c>
      <c r="BY78" s="179"/>
      <c r="BZ78" s="172">
        <f t="shared" ca="1" si="73"/>
        <v>49.510333333333342</v>
      </c>
      <c r="CA78" s="173">
        <f t="shared" ca="1" si="99"/>
        <v>10.609357142857144</v>
      </c>
      <c r="CB78" s="173">
        <f t="shared" ca="1" si="100"/>
        <v>10.609357142857144</v>
      </c>
      <c r="CC78" s="173">
        <f t="shared" ca="1" si="101"/>
        <v>14.145809523809525</v>
      </c>
      <c r="CD78" s="173">
        <f t="shared" ca="1" si="102"/>
        <v>14.145809523809525</v>
      </c>
      <c r="CE78" s="180"/>
      <c r="CF78" s="166">
        <f t="shared" ca="1" si="76"/>
        <v>31.870137984601516</v>
      </c>
      <c r="CG78" s="167">
        <f t="shared" ca="1" si="77"/>
        <v>6.8293152824146111</v>
      </c>
      <c r="CH78" s="167">
        <f t="shared" ca="1" si="77"/>
        <v>6.8293152824146111</v>
      </c>
      <c r="CI78" s="167">
        <f t="shared" ca="1" si="77"/>
        <v>9.1057537098861481</v>
      </c>
      <c r="CJ78" s="167">
        <f t="shared" ca="1" si="77"/>
        <v>9.1057537098861481</v>
      </c>
      <c r="CK78" s="178"/>
    </row>
    <row r="79" spans="2:89">
      <c r="B79" s="188">
        <v>36</v>
      </c>
      <c r="C79" s="189">
        <v>69.8</v>
      </c>
      <c r="D79" s="189">
        <v>59</v>
      </c>
      <c r="E79" s="190" t="s">
        <v>109</v>
      </c>
      <c r="F79" s="219">
        <f t="shared" si="88"/>
        <v>0.70000000000000007</v>
      </c>
      <c r="G79" s="220">
        <f t="shared" si="88"/>
        <v>0.69998672507633086</v>
      </c>
      <c r="H79" s="220">
        <f t="shared" si="88"/>
        <v>0.70001342822613133</v>
      </c>
      <c r="I79" s="220">
        <f t="shared" si="88"/>
        <v>0.69998681260714746</v>
      </c>
      <c r="J79" s="220">
        <f t="shared" si="88"/>
        <v>0.71040605823214509</v>
      </c>
      <c r="K79" s="220">
        <f t="shared" si="88"/>
        <v>0.72579208550706198</v>
      </c>
      <c r="L79" s="219">
        <f t="shared" si="88"/>
        <v>0.76540880503144659</v>
      </c>
      <c r="M79" s="219">
        <f t="shared" si="88"/>
        <v>0.79481099177012149</v>
      </c>
      <c r="N79" s="219">
        <f t="shared" si="88"/>
        <v>0.82581036049681911</v>
      </c>
      <c r="O79" s="219">
        <f t="shared" si="88"/>
        <v>0.87934220251293416</v>
      </c>
      <c r="P79" s="219">
        <f t="shared" si="88"/>
        <v>0.95718592964824134</v>
      </c>
      <c r="Q79" s="221">
        <f t="shared" si="88"/>
        <v>0.97948831054256713</v>
      </c>
      <c r="R79" s="222">
        <f t="shared" ca="1" si="89"/>
        <v>0.82581036049681911</v>
      </c>
      <c r="S79" s="152"/>
      <c r="T79" s="152"/>
      <c r="U79" s="146" t="s">
        <v>96</v>
      </c>
      <c r="V79" s="150">
        <f ca="1">FORECAST(INDOOR_DB,OFFSET(R79:R82,MATCH(INDOOR_DB,C79:C82,1)-1,0,2),OFFSET(C79:C82,MATCH(INDOOR_DB,C79:C82,1)-1,0,2))</f>
        <v>0.79752882486143095</v>
      </c>
      <c r="W79" s="145">
        <f>B79</f>
        <v>36</v>
      </c>
      <c r="X79" s="150">
        <f ca="1">IF(OR(INDOOR_DB&lt;C79,INDOOR_DB&gt;C82),V81,V79)</f>
        <v>0.79752882486143095</v>
      </c>
      <c r="AC79" s="164" t="s">
        <v>157</v>
      </c>
      <c r="AD79" s="164">
        <v>36</v>
      </c>
      <c r="AE79" s="165">
        <v>9</v>
      </c>
      <c r="AF79" s="165">
        <v>9</v>
      </c>
      <c r="AG79" s="165">
        <v>12</v>
      </c>
      <c r="AH79" s="164">
        <v>18</v>
      </c>
      <c r="AI79" s="164"/>
      <c r="AJ79" s="501"/>
      <c r="AK79" s="166">
        <f t="shared" ca="1" si="61"/>
        <v>39.961111111111109</v>
      </c>
      <c r="AL79" s="167">
        <f t="shared" ca="1" si="90"/>
        <v>7.4927083333333329</v>
      </c>
      <c r="AM79" s="167">
        <f t="shared" ca="1" si="91"/>
        <v>7.4927083333333329</v>
      </c>
      <c r="AN79" s="167">
        <f t="shared" ca="1" si="92"/>
        <v>9.9902777777777771</v>
      </c>
      <c r="AO79" s="167">
        <f t="shared" ca="1" si="93"/>
        <v>14.985416666666666</v>
      </c>
      <c r="AP79" s="178"/>
      <c r="AQ79" s="169">
        <f t="shared" ca="1" si="64"/>
        <v>53.826222222222228</v>
      </c>
      <c r="AR79" s="170">
        <f ca="1">INDEX('Cap based on indoor unit SZ'!$J$6:$J$21,MATCH(AE79,'Cap based on indoor unit SZ'!$I$6:$I$21))</f>
        <v>10.463111111111111</v>
      </c>
      <c r="AS79" s="170">
        <f ca="1">INDEX('Cap based on indoor unit SZ'!$J$6:$J$21,MATCH(AF79,'Cap based on indoor unit SZ'!$I$6:$I$21))</f>
        <v>10.463111111111111</v>
      </c>
      <c r="AT79" s="170">
        <f ca="1">INDEX('Cap based on indoor unit SZ'!$J$6:$J$21,MATCH(AG79,'Cap based on indoor unit SZ'!$I$6:$I$21))</f>
        <v>13.078888888888891</v>
      </c>
      <c r="AU79" s="170">
        <f ca="1">INDEX('Cap based on indoor unit SZ'!$J$6:$J$21,MATCH(AH79,'Cap based on indoor unit SZ'!$I$6:$I$21))</f>
        <v>19.821111111111112</v>
      </c>
      <c r="AV79" s="179"/>
      <c r="AW79" s="169">
        <f t="shared" si="65"/>
        <v>45</v>
      </c>
      <c r="AX79" s="170">
        <v>9</v>
      </c>
      <c r="AY79" s="170">
        <v>9</v>
      </c>
      <c r="AZ79" s="170">
        <v>10.5</v>
      </c>
      <c r="BA79" s="170">
        <v>16.5</v>
      </c>
      <c r="BB79" s="179"/>
      <c r="BC79" s="172">
        <f t="shared" ca="1" si="66"/>
        <v>39.961111111111109</v>
      </c>
      <c r="BD79" s="173">
        <f t="shared" ca="1" si="94"/>
        <v>7.4927083333333329</v>
      </c>
      <c r="BE79" s="173">
        <f t="shared" ca="1" si="94"/>
        <v>7.4927083333333329</v>
      </c>
      <c r="BF79" s="173">
        <f t="shared" ca="1" si="94"/>
        <v>9.9902777777777771</v>
      </c>
      <c r="BG79" s="173">
        <f t="shared" ca="1" si="94"/>
        <v>14.985416666666666</v>
      </c>
      <c r="BH79" s="180"/>
      <c r="BI79" s="166">
        <f t="shared" ca="1" si="69"/>
        <v>49.510333333333335</v>
      </c>
      <c r="BJ79" s="167">
        <f t="shared" ca="1" si="95"/>
        <v>9.2831875000000004</v>
      </c>
      <c r="BK79" s="167">
        <f t="shared" ca="1" si="96"/>
        <v>9.2831875000000004</v>
      </c>
      <c r="BL79" s="167">
        <f t="shared" ca="1" si="97"/>
        <v>12.377583333333334</v>
      </c>
      <c r="BM79" s="167">
        <f t="shared" ca="1" si="98"/>
        <v>18.566375000000001</v>
      </c>
      <c r="BN79" s="178"/>
      <c r="BO79" s="169">
        <f t="shared" ca="1" si="72"/>
        <v>63.455887179487178</v>
      </c>
      <c r="BP79" s="170">
        <f ca="1">INDEX('Cap based on indoor unit SZ'!$V$43:$V$58,MATCH(AE79,'Cap based on indoor unit SZ'!$U$43:$U$58))</f>
        <v>11.956020512820512</v>
      </c>
      <c r="BQ79" s="170">
        <f ca="1">INDEX('Cap based on indoor unit SZ'!$V$43:$V$58,MATCH(AF79,'Cap based on indoor unit SZ'!$U$43:$U$58))</f>
        <v>11.956020512820512</v>
      </c>
      <c r="BR79" s="170">
        <f ca="1">INDEX('Cap based on indoor unit SZ'!$V$43:$V$58,MATCH(AG79,'Cap based on indoor unit SZ'!$U$43:$U$58))</f>
        <v>14.945025641025641</v>
      </c>
      <c r="BS79" s="170">
        <f ca="1">INDEX('Cap based on indoor unit SZ'!$V$43:$V$58,MATCH(AH79,'Cap based on indoor unit SZ'!$U$43:$U$58))</f>
        <v>24.598820512820513</v>
      </c>
      <c r="BT79" s="179"/>
      <c r="BU79" s="175">
        <v>9500</v>
      </c>
      <c r="BV79" s="175">
        <v>9500</v>
      </c>
      <c r="BW79" s="175">
        <v>11500</v>
      </c>
      <c r="BX79" s="175">
        <v>17500</v>
      </c>
      <c r="BY79" s="179"/>
      <c r="BZ79" s="172">
        <f t="shared" ca="1" si="73"/>
        <v>49.510333333333335</v>
      </c>
      <c r="CA79" s="173">
        <f t="shared" ca="1" si="99"/>
        <v>9.2831875000000004</v>
      </c>
      <c r="CB79" s="173">
        <f t="shared" ca="1" si="100"/>
        <v>9.2831875000000004</v>
      </c>
      <c r="CC79" s="173">
        <f t="shared" ca="1" si="101"/>
        <v>12.377583333333334</v>
      </c>
      <c r="CD79" s="173">
        <f t="shared" ca="1" si="102"/>
        <v>18.566375000000001</v>
      </c>
      <c r="CE79" s="180"/>
      <c r="CF79" s="166">
        <f t="shared" ca="1" si="76"/>
        <v>31.870137984601513</v>
      </c>
      <c r="CG79" s="167">
        <f t="shared" ca="1" si="77"/>
        <v>5.9756508721127837</v>
      </c>
      <c r="CH79" s="167">
        <f t="shared" ca="1" si="77"/>
        <v>5.9756508721127837</v>
      </c>
      <c r="CI79" s="167">
        <f t="shared" ca="1" si="77"/>
        <v>7.9675344961503782</v>
      </c>
      <c r="CJ79" s="167">
        <f t="shared" ca="1" si="77"/>
        <v>11.951301744225567</v>
      </c>
      <c r="CK79" s="178"/>
    </row>
    <row r="80" spans="2:89">
      <c r="B80" s="196">
        <v>36</v>
      </c>
      <c r="C80" s="197">
        <v>75.2</v>
      </c>
      <c r="D80" s="197">
        <v>62.6</v>
      </c>
      <c r="E80" s="198" t="s">
        <v>109</v>
      </c>
      <c r="F80" s="223">
        <f t="shared" si="88"/>
        <v>0.71487390633041692</v>
      </c>
      <c r="G80" s="224">
        <f t="shared" si="88"/>
        <v>0.71484325821478023</v>
      </c>
      <c r="H80" s="224">
        <f t="shared" si="88"/>
        <v>0.71494077187619409</v>
      </c>
      <c r="I80" s="224">
        <f t="shared" si="88"/>
        <v>0.71491118338754067</v>
      </c>
      <c r="J80" s="224">
        <f t="shared" si="88"/>
        <v>0.71501114689125589</v>
      </c>
      <c r="K80" s="224">
        <f t="shared" si="88"/>
        <v>0.76004828002414004</v>
      </c>
      <c r="L80" s="223">
        <f t="shared" si="88"/>
        <v>0.82486345286155305</v>
      </c>
      <c r="M80" s="223">
        <f t="shared" si="88"/>
        <v>0.86553862051149577</v>
      </c>
      <c r="N80" s="223">
        <f t="shared" si="88"/>
        <v>0.88541374474053303</v>
      </c>
      <c r="O80" s="223">
        <f t="shared" si="88"/>
        <v>0.91033538672142378</v>
      </c>
      <c r="P80" s="223">
        <f t="shared" si="88"/>
        <v>0.97412990880327577</v>
      </c>
      <c r="Q80" s="225">
        <f t="shared" si="88"/>
        <v>0.98958546048601193</v>
      </c>
      <c r="R80" s="226">
        <f t="shared" ca="1" si="89"/>
        <v>0.88541374474053303</v>
      </c>
      <c r="S80" s="152"/>
      <c r="T80" s="152"/>
      <c r="U80" s="146"/>
      <c r="V80" s="151"/>
      <c r="W80" s="145"/>
      <c r="X80" s="227"/>
      <c r="AC80" s="164" t="s">
        <v>156</v>
      </c>
      <c r="AD80" s="164">
        <v>36</v>
      </c>
      <c r="AE80" s="165">
        <v>9</v>
      </c>
      <c r="AF80" s="165">
        <v>9</v>
      </c>
      <c r="AG80" s="165">
        <v>12</v>
      </c>
      <c r="AH80" s="164">
        <v>24</v>
      </c>
      <c r="AI80" s="164"/>
      <c r="AJ80" s="501"/>
      <c r="AK80" s="166">
        <f t="shared" ca="1" si="61"/>
        <v>39.961111111111109</v>
      </c>
      <c r="AL80" s="167">
        <f t="shared" ca="1" si="90"/>
        <v>6.6601851851851848</v>
      </c>
      <c r="AM80" s="167">
        <f t="shared" ca="1" si="91"/>
        <v>6.6601851851851848</v>
      </c>
      <c r="AN80" s="167">
        <f t="shared" ca="1" si="92"/>
        <v>8.8802469135802458</v>
      </c>
      <c r="AO80" s="167">
        <f t="shared" ca="1" si="93"/>
        <v>17.760493827160492</v>
      </c>
      <c r="AP80" s="178"/>
      <c r="AQ80" s="169">
        <f t="shared" ca="1" si="64"/>
        <v>58.457333333333331</v>
      </c>
      <c r="AR80" s="170">
        <f ca="1">INDEX('Cap based on indoor unit SZ'!$J$6:$J$21,MATCH(AE80,'Cap based on indoor unit SZ'!$I$6:$I$21))</f>
        <v>10.463111111111111</v>
      </c>
      <c r="AS80" s="170">
        <f ca="1">INDEX('Cap based on indoor unit SZ'!$J$6:$J$21,MATCH(AF80,'Cap based on indoor unit SZ'!$I$6:$I$21))</f>
        <v>10.463111111111111</v>
      </c>
      <c r="AT80" s="170">
        <f ca="1">INDEX('Cap based on indoor unit SZ'!$J$6:$J$21,MATCH(AG80,'Cap based on indoor unit SZ'!$I$6:$I$21))</f>
        <v>13.078888888888891</v>
      </c>
      <c r="AU80" s="170">
        <f ca="1">INDEX('Cap based on indoor unit SZ'!$J$6:$J$21,MATCH(AH80,'Cap based on indoor unit SZ'!$I$6:$I$21))</f>
        <v>24.452222222222218</v>
      </c>
      <c r="AV80" s="179"/>
      <c r="AW80" s="169">
        <f t="shared" si="65"/>
        <v>48</v>
      </c>
      <c r="AX80" s="170">
        <v>8.5</v>
      </c>
      <c r="AY80" s="170">
        <v>8.5</v>
      </c>
      <c r="AZ80" s="170">
        <v>10.5</v>
      </c>
      <c r="BA80" s="170">
        <v>20.5</v>
      </c>
      <c r="BB80" s="179"/>
      <c r="BC80" s="172">
        <f t="shared" ca="1" si="66"/>
        <v>39.961111111111109</v>
      </c>
      <c r="BD80" s="173">
        <f t="shared" ca="1" si="94"/>
        <v>6.6601851851851848</v>
      </c>
      <c r="BE80" s="173">
        <f t="shared" ca="1" si="94"/>
        <v>6.6601851851851848</v>
      </c>
      <c r="BF80" s="173">
        <f t="shared" ca="1" si="94"/>
        <v>8.8802469135802458</v>
      </c>
      <c r="BG80" s="173">
        <f t="shared" ca="1" si="94"/>
        <v>17.760493827160492</v>
      </c>
      <c r="BH80" s="180"/>
      <c r="BI80" s="166">
        <f t="shared" ca="1" si="69"/>
        <v>49.510333333333335</v>
      </c>
      <c r="BJ80" s="167">
        <f t="shared" ca="1" si="95"/>
        <v>8.251722222222222</v>
      </c>
      <c r="BK80" s="167">
        <f t="shared" ca="1" si="96"/>
        <v>8.251722222222222</v>
      </c>
      <c r="BL80" s="167">
        <f t="shared" ca="1" si="97"/>
        <v>11.002296296296295</v>
      </c>
      <c r="BM80" s="167">
        <f t="shared" ca="1" si="98"/>
        <v>22.004592592592591</v>
      </c>
      <c r="BN80" s="178"/>
      <c r="BO80" s="169">
        <f t="shared" ca="1" si="72"/>
        <v>69.147066666666674</v>
      </c>
      <c r="BP80" s="170">
        <f ca="1">INDEX('Cap based on indoor unit SZ'!$V$43:$V$58,MATCH(AE80,'Cap based on indoor unit SZ'!$U$43:$U$58))</f>
        <v>11.956020512820512</v>
      </c>
      <c r="BQ80" s="170">
        <f ca="1">INDEX('Cap based on indoor unit SZ'!$V$43:$V$58,MATCH(AF80,'Cap based on indoor unit SZ'!$U$43:$U$58))</f>
        <v>11.956020512820512</v>
      </c>
      <c r="BR80" s="170">
        <f ca="1">INDEX('Cap based on indoor unit SZ'!$V$43:$V$58,MATCH(AG80,'Cap based on indoor unit SZ'!$U$43:$U$58))</f>
        <v>14.945025641025641</v>
      </c>
      <c r="BS80" s="170">
        <f ca="1">INDEX('Cap based on indoor unit SZ'!$V$43:$V$58,MATCH(AH80,'Cap based on indoor unit SZ'!$U$43:$U$58))</f>
        <v>30.290000000000003</v>
      </c>
      <c r="BT80" s="179"/>
      <c r="BU80" s="175">
        <v>9000</v>
      </c>
      <c r="BV80" s="175">
        <v>9000</v>
      </c>
      <c r="BW80" s="175">
        <v>11000</v>
      </c>
      <c r="BX80" s="175">
        <v>21000</v>
      </c>
      <c r="BY80" s="179"/>
      <c r="BZ80" s="172">
        <f t="shared" ca="1" si="73"/>
        <v>49.510333333333335</v>
      </c>
      <c r="CA80" s="173">
        <f t="shared" ca="1" si="99"/>
        <v>8.251722222222222</v>
      </c>
      <c r="CB80" s="173">
        <f t="shared" ca="1" si="100"/>
        <v>8.251722222222222</v>
      </c>
      <c r="CC80" s="173">
        <f t="shared" ca="1" si="101"/>
        <v>11.002296296296295</v>
      </c>
      <c r="CD80" s="173">
        <f t="shared" ca="1" si="102"/>
        <v>22.004592592592591</v>
      </c>
      <c r="CE80" s="180"/>
      <c r="CF80" s="166">
        <f t="shared" ca="1" si="76"/>
        <v>31.870137984601513</v>
      </c>
      <c r="CG80" s="167">
        <f t="shared" ca="1" si="77"/>
        <v>5.3116896641002525</v>
      </c>
      <c r="CH80" s="167">
        <f t="shared" ca="1" si="77"/>
        <v>5.3116896641002525</v>
      </c>
      <c r="CI80" s="167">
        <f t="shared" ca="1" si="77"/>
        <v>7.0822528854670024</v>
      </c>
      <c r="CJ80" s="167">
        <f t="shared" ca="1" si="77"/>
        <v>14.164505770934005</v>
      </c>
      <c r="CK80" s="178"/>
    </row>
    <row r="81" spans="2:89">
      <c r="B81" s="196">
        <v>36</v>
      </c>
      <c r="C81" s="197">
        <v>80.599999999999994</v>
      </c>
      <c r="D81" s="197">
        <v>66.2</v>
      </c>
      <c r="E81" s="198" t="s">
        <v>109</v>
      </c>
      <c r="F81" s="223">
        <f t="shared" si="88"/>
        <v>0.69997600767754309</v>
      </c>
      <c r="G81" s="224">
        <f t="shared" si="88"/>
        <v>0.7</v>
      </c>
      <c r="H81" s="224">
        <f t="shared" si="88"/>
        <v>0.70009460737937557</v>
      </c>
      <c r="I81" s="224">
        <f t="shared" si="88"/>
        <v>0.70011600928074258</v>
      </c>
      <c r="J81" s="224">
        <f t="shared" si="88"/>
        <v>0.69997700091996318</v>
      </c>
      <c r="K81" s="224">
        <f t="shared" si="88"/>
        <v>0.72571103526734926</v>
      </c>
      <c r="L81" s="223">
        <f t="shared" si="88"/>
        <v>0.74579105808897317</v>
      </c>
      <c r="M81" s="223">
        <f t="shared" si="88"/>
        <v>0.76095104239868827</v>
      </c>
      <c r="N81" s="223">
        <f t="shared" si="88"/>
        <v>0.78654320987654314</v>
      </c>
      <c r="O81" s="223">
        <f t="shared" si="88"/>
        <v>0.84443783462224875</v>
      </c>
      <c r="P81" s="223">
        <f t="shared" si="88"/>
        <v>0.97224895733076666</v>
      </c>
      <c r="Q81" s="225">
        <f t="shared" si="88"/>
        <v>0.98981708466905527</v>
      </c>
      <c r="R81" s="226">
        <f t="shared" ca="1" si="89"/>
        <v>0.78654320987654314</v>
      </c>
      <c r="S81" s="152"/>
      <c r="T81" s="152"/>
      <c r="U81" s="146" t="s">
        <v>97</v>
      </c>
      <c r="V81" s="150">
        <f ca="1">TREND(R79:R82,C79:C82,INDOOR_DB)</f>
        <v>0.85233382434856497</v>
      </c>
      <c r="W81" s="145"/>
      <c r="X81" s="227"/>
      <c r="AC81" s="164" t="s">
        <v>155</v>
      </c>
      <c r="AD81" s="164">
        <v>36</v>
      </c>
      <c r="AE81" s="165">
        <v>9</v>
      </c>
      <c r="AF81" s="165">
        <v>9</v>
      </c>
      <c r="AG81" s="165">
        <v>18</v>
      </c>
      <c r="AH81" s="164">
        <v>18</v>
      </c>
      <c r="AI81" s="164"/>
      <c r="AJ81" s="501"/>
      <c r="AK81" s="166">
        <f t="shared" ca="1" si="61"/>
        <v>39.961111111111109</v>
      </c>
      <c r="AL81" s="167">
        <f t="shared" ca="1" si="90"/>
        <v>6.6601851851851848</v>
      </c>
      <c r="AM81" s="167">
        <f t="shared" ca="1" si="91"/>
        <v>6.6601851851851848</v>
      </c>
      <c r="AN81" s="167">
        <f t="shared" ca="1" si="92"/>
        <v>13.32037037037037</v>
      </c>
      <c r="AO81" s="167">
        <f t="shared" ca="1" si="93"/>
        <v>13.32037037037037</v>
      </c>
      <c r="AP81" s="178"/>
      <c r="AQ81" s="169">
        <f t="shared" ca="1" si="64"/>
        <v>60.568444444444438</v>
      </c>
      <c r="AR81" s="170">
        <f ca="1">INDEX('Cap based on indoor unit SZ'!$J$6:$J$21,MATCH(AE81,'Cap based on indoor unit SZ'!$I$6:$I$21))</f>
        <v>10.463111111111111</v>
      </c>
      <c r="AS81" s="170">
        <f ca="1">INDEX('Cap based on indoor unit SZ'!$J$6:$J$21,MATCH(AF81,'Cap based on indoor unit SZ'!$I$6:$I$21))</f>
        <v>10.463111111111111</v>
      </c>
      <c r="AT81" s="170">
        <f ca="1">INDEX('Cap based on indoor unit SZ'!$J$6:$J$21,MATCH(AG81,'Cap based on indoor unit SZ'!$I$6:$I$21))</f>
        <v>19.821111111111112</v>
      </c>
      <c r="AU81" s="170">
        <f ca="1">INDEX('Cap based on indoor unit SZ'!$J$6:$J$21,MATCH(AH81,'Cap based on indoor unit SZ'!$I$6:$I$21))</f>
        <v>19.821111111111112</v>
      </c>
      <c r="AV81" s="179"/>
      <c r="AW81" s="169">
        <f t="shared" si="65"/>
        <v>48</v>
      </c>
      <c r="AX81" s="170">
        <v>8.5</v>
      </c>
      <c r="AY81" s="170">
        <v>8.5</v>
      </c>
      <c r="AZ81" s="170">
        <v>15.5</v>
      </c>
      <c r="BA81" s="170">
        <v>15.5</v>
      </c>
      <c r="BB81" s="179"/>
      <c r="BC81" s="172">
        <f t="shared" ca="1" si="66"/>
        <v>39.961111111111109</v>
      </c>
      <c r="BD81" s="173">
        <f t="shared" ca="1" si="94"/>
        <v>6.6601851851851848</v>
      </c>
      <c r="BE81" s="173">
        <f t="shared" ca="1" si="94"/>
        <v>6.6601851851851848</v>
      </c>
      <c r="BF81" s="173">
        <f t="shared" ca="1" si="94"/>
        <v>13.32037037037037</v>
      </c>
      <c r="BG81" s="173">
        <f t="shared" ca="1" si="94"/>
        <v>13.32037037037037</v>
      </c>
      <c r="BH81" s="180"/>
      <c r="BI81" s="166">
        <f t="shared" ca="1" si="69"/>
        <v>49.510333333333335</v>
      </c>
      <c r="BJ81" s="167">
        <f t="shared" ca="1" si="95"/>
        <v>8.251722222222222</v>
      </c>
      <c r="BK81" s="167">
        <f t="shared" ca="1" si="96"/>
        <v>8.251722222222222</v>
      </c>
      <c r="BL81" s="167">
        <f t="shared" ca="1" si="97"/>
        <v>16.503444444444444</v>
      </c>
      <c r="BM81" s="167">
        <f t="shared" ca="1" si="98"/>
        <v>16.503444444444444</v>
      </c>
      <c r="BN81" s="178"/>
      <c r="BO81" s="169">
        <f t="shared" ca="1" si="72"/>
        <v>73.10968205128205</v>
      </c>
      <c r="BP81" s="170">
        <f ca="1">INDEX('Cap based on indoor unit SZ'!$V$43:$V$58,MATCH(AE81,'Cap based on indoor unit SZ'!$U$43:$U$58))</f>
        <v>11.956020512820512</v>
      </c>
      <c r="BQ81" s="170">
        <f ca="1">INDEX('Cap based on indoor unit SZ'!$V$43:$V$58,MATCH(AF81,'Cap based on indoor unit SZ'!$U$43:$U$58))</f>
        <v>11.956020512820512</v>
      </c>
      <c r="BR81" s="170">
        <f ca="1">INDEX('Cap based on indoor unit SZ'!$V$43:$V$58,MATCH(AG81,'Cap based on indoor unit SZ'!$U$43:$U$58))</f>
        <v>24.598820512820513</v>
      </c>
      <c r="BS81" s="170">
        <f ca="1">INDEX('Cap based on indoor unit SZ'!$V$43:$V$58,MATCH(AH81,'Cap based on indoor unit SZ'!$U$43:$U$58))</f>
        <v>24.598820512820513</v>
      </c>
      <c r="BT81" s="179"/>
      <c r="BU81" s="175">
        <v>9000</v>
      </c>
      <c r="BV81" s="175">
        <v>9000</v>
      </c>
      <c r="BW81" s="175">
        <v>16000</v>
      </c>
      <c r="BX81" s="175">
        <v>16000</v>
      </c>
      <c r="BY81" s="179"/>
      <c r="BZ81" s="172">
        <f t="shared" ca="1" si="73"/>
        <v>49.510333333333335</v>
      </c>
      <c r="CA81" s="173">
        <f t="shared" ca="1" si="99"/>
        <v>8.251722222222222</v>
      </c>
      <c r="CB81" s="173">
        <f t="shared" ca="1" si="100"/>
        <v>8.251722222222222</v>
      </c>
      <c r="CC81" s="173">
        <f t="shared" ca="1" si="101"/>
        <v>16.503444444444444</v>
      </c>
      <c r="CD81" s="173">
        <f t="shared" ca="1" si="102"/>
        <v>16.503444444444444</v>
      </c>
      <c r="CE81" s="180"/>
      <c r="CF81" s="166">
        <f t="shared" ca="1" si="76"/>
        <v>31.870137984601513</v>
      </c>
      <c r="CG81" s="167">
        <f t="shared" ca="1" si="77"/>
        <v>5.3116896641002525</v>
      </c>
      <c r="CH81" s="167">
        <f t="shared" ca="1" si="77"/>
        <v>5.3116896641002525</v>
      </c>
      <c r="CI81" s="167">
        <f t="shared" ca="1" si="77"/>
        <v>10.623379328200505</v>
      </c>
      <c r="CJ81" s="167">
        <f t="shared" ca="1" si="77"/>
        <v>10.623379328200505</v>
      </c>
      <c r="CK81" s="178"/>
    </row>
    <row r="82" spans="2:89" ht="14.4" thickBot="1">
      <c r="B82" s="204">
        <v>36</v>
      </c>
      <c r="C82" s="205">
        <v>89.6</v>
      </c>
      <c r="D82" s="205">
        <v>73.400000000000006</v>
      </c>
      <c r="E82" s="206" t="s">
        <v>109</v>
      </c>
      <c r="F82" s="228">
        <f t="shared" si="88"/>
        <v>0.71925675675675671</v>
      </c>
      <c r="G82" s="229">
        <f t="shared" si="88"/>
        <v>0.71918034592927171</v>
      </c>
      <c r="H82" s="229">
        <f t="shared" si="88"/>
        <v>0.71916971916971906</v>
      </c>
      <c r="I82" s="229">
        <f t="shared" si="88"/>
        <v>0.71926385712730057</v>
      </c>
      <c r="J82" s="229">
        <f t="shared" si="88"/>
        <v>0.71923575129533679</v>
      </c>
      <c r="K82" s="229">
        <f t="shared" si="88"/>
        <v>0.76444207154297916</v>
      </c>
      <c r="L82" s="228">
        <f t="shared" si="88"/>
        <v>0.82480376766091057</v>
      </c>
      <c r="M82" s="228">
        <f t="shared" si="88"/>
        <v>0.87038258575197902</v>
      </c>
      <c r="N82" s="228">
        <f t="shared" si="88"/>
        <v>0.89998841117163064</v>
      </c>
      <c r="O82" s="228">
        <f t="shared" si="88"/>
        <v>0.93439419318816297</v>
      </c>
      <c r="P82" s="228">
        <f t="shared" si="88"/>
        <v>0.9741002861014908</v>
      </c>
      <c r="Q82" s="230">
        <f t="shared" si="88"/>
        <v>1</v>
      </c>
      <c r="R82" s="231">
        <f t="shared" ca="1" si="89"/>
        <v>0.89998841117163053</v>
      </c>
      <c r="S82" s="152"/>
      <c r="T82" s="152"/>
      <c r="U82" s="146"/>
      <c r="V82" s="227"/>
      <c r="W82" s="152"/>
      <c r="X82" s="227"/>
      <c r="AC82" s="164" t="s">
        <v>154</v>
      </c>
      <c r="AD82" s="164">
        <v>36</v>
      </c>
      <c r="AE82" s="165">
        <v>9</v>
      </c>
      <c r="AF82" s="165">
        <v>9</v>
      </c>
      <c r="AG82" s="165">
        <v>18</v>
      </c>
      <c r="AH82" s="164">
        <v>24</v>
      </c>
      <c r="AI82" s="164"/>
      <c r="AJ82" s="501"/>
      <c r="AK82" s="166">
        <f t="shared" ca="1" si="61"/>
        <v>39.961111111111109</v>
      </c>
      <c r="AL82" s="167">
        <f t="shared" ca="1" si="90"/>
        <v>5.9941666666666666</v>
      </c>
      <c r="AM82" s="167">
        <f t="shared" ca="1" si="91"/>
        <v>5.9941666666666666</v>
      </c>
      <c r="AN82" s="167">
        <f t="shared" ca="1" si="92"/>
        <v>11.988333333333333</v>
      </c>
      <c r="AO82" s="167">
        <f t="shared" ca="1" si="93"/>
        <v>15.984444444444444</v>
      </c>
      <c r="AP82" s="178"/>
      <c r="AQ82" s="169">
        <f t="shared" ca="1" si="64"/>
        <v>65.199555555555548</v>
      </c>
      <c r="AR82" s="170">
        <f ca="1">INDEX('Cap based on indoor unit SZ'!$J$6:$J$21,MATCH(AE82,'Cap based on indoor unit SZ'!$I$6:$I$21))</f>
        <v>10.463111111111111</v>
      </c>
      <c r="AS82" s="170">
        <f ca="1">INDEX('Cap based on indoor unit SZ'!$J$6:$J$21,MATCH(AF82,'Cap based on indoor unit SZ'!$I$6:$I$21))</f>
        <v>10.463111111111111</v>
      </c>
      <c r="AT82" s="170">
        <f ca="1">INDEX('Cap based on indoor unit SZ'!$J$6:$J$21,MATCH(AG82,'Cap based on indoor unit SZ'!$I$6:$I$21))</f>
        <v>19.821111111111112</v>
      </c>
      <c r="AU82" s="170">
        <f ca="1">INDEX('Cap based on indoor unit SZ'!$J$6:$J$21,MATCH(AH82,'Cap based on indoor unit SZ'!$I$6:$I$21))</f>
        <v>24.452222222222218</v>
      </c>
      <c r="AV82" s="179"/>
      <c r="AW82" s="169">
        <f t="shared" si="65"/>
        <v>50.5</v>
      </c>
      <c r="AX82" s="170">
        <v>8</v>
      </c>
      <c r="AY82" s="170">
        <v>8</v>
      </c>
      <c r="AZ82" s="170">
        <v>14.5</v>
      </c>
      <c r="BA82" s="170">
        <v>20</v>
      </c>
      <c r="BB82" s="179"/>
      <c r="BC82" s="172">
        <f t="shared" ca="1" si="66"/>
        <v>39.961111111111109</v>
      </c>
      <c r="BD82" s="173">
        <f t="shared" ca="1" si="94"/>
        <v>5.9941666666666666</v>
      </c>
      <c r="BE82" s="173">
        <f t="shared" ca="1" si="94"/>
        <v>5.9941666666666666</v>
      </c>
      <c r="BF82" s="173">
        <f t="shared" ca="1" si="94"/>
        <v>11.988333333333333</v>
      </c>
      <c r="BG82" s="173">
        <f t="shared" ca="1" si="94"/>
        <v>15.984444444444444</v>
      </c>
      <c r="BH82" s="180"/>
      <c r="BI82" s="166">
        <f t="shared" ca="1" si="69"/>
        <v>49.510333333333335</v>
      </c>
      <c r="BJ82" s="167">
        <f t="shared" ca="1" si="95"/>
        <v>7.4265500000000007</v>
      </c>
      <c r="BK82" s="167">
        <f t="shared" ca="1" si="96"/>
        <v>7.4265500000000007</v>
      </c>
      <c r="BL82" s="167">
        <f t="shared" ca="1" si="97"/>
        <v>14.853100000000001</v>
      </c>
      <c r="BM82" s="167">
        <f t="shared" ca="1" si="98"/>
        <v>19.804133333333333</v>
      </c>
      <c r="BN82" s="178"/>
      <c r="BO82" s="169">
        <f t="shared" ca="1" si="72"/>
        <v>78.800861538461547</v>
      </c>
      <c r="BP82" s="170">
        <f ca="1">INDEX('Cap based on indoor unit SZ'!$V$43:$V$58,MATCH(AE82,'Cap based on indoor unit SZ'!$U$43:$U$58))</f>
        <v>11.956020512820512</v>
      </c>
      <c r="BQ82" s="170">
        <f ca="1">INDEX('Cap based on indoor unit SZ'!$V$43:$V$58,MATCH(AF82,'Cap based on indoor unit SZ'!$U$43:$U$58))</f>
        <v>11.956020512820512</v>
      </c>
      <c r="BR82" s="170">
        <f ca="1">INDEX('Cap based on indoor unit SZ'!$V$43:$V$58,MATCH(AG82,'Cap based on indoor unit SZ'!$U$43:$U$58))</f>
        <v>24.598820512820513</v>
      </c>
      <c r="BS82" s="170">
        <f ca="1">INDEX('Cap based on indoor unit SZ'!$V$43:$V$58,MATCH(AH82,'Cap based on indoor unit SZ'!$U$43:$U$58))</f>
        <v>30.290000000000003</v>
      </c>
      <c r="BT82" s="179"/>
      <c r="BU82" s="175">
        <v>8500</v>
      </c>
      <c r="BV82" s="175">
        <v>8500</v>
      </c>
      <c r="BW82" s="175">
        <v>15000</v>
      </c>
      <c r="BX82" s="175">
        <v>20000</v>
      </c>
      <c r="BY82" s="179"/>
      <c r="BZ82" s="172">
        <f t="shared" ca="1" si="73"/>
        <v>49.510333333333335</v>
      </c>
      <c r="CA82" s="173">
        <f t="shared" ca="1" si="99"/>
        <v>7.4265500000000007</v>
      </c>
      <c r="CB82" s="173">
        <f t="shared" ca="1" si="100"/>
        <v>7.4265500000000007</v>
      </c>
      <c r="CC82" s="173">
        <f t="shared" ca="1" si="101"/>
        <v>14.853100000000001</v>
      </c>
      <c r="CD82" s="173">
        <f t="shared" ca="1" si="102"/>
        <v>19.804133333333333</v>
      </c>
      <c r="CE82" s="180"/>
      <c r="CF82" s="166">
        <f t="shared" ca="1" si="76"/>
        <v>31.870137984601516</v>
      </c>
      <c r="CG82" s="167">
        <f t="shared" ca="1" si="77"/>
        <v>4.7805206976902275</v>
      </c>
      <c r="CH82" s="167">
        <f t="shared" ca="1" si="77"/>
        <v>4.7805206976902275</v>
      </c>
      <c r="CI82" s="167">
        <f t="shared" ca="1" si="77"/>
        <v>9.5610413953804549</v>
      </c>
      <c r="CJ82" s="167">
        <f t="shared" ca="1" si="77"/>
        <v>12.748055193840607</v>
      </c>
      <c r="CK82" s="178"/>
    </row>
    <row r="83" spans="2:89">
      <c r="B83" s="188">
        <v>48</v>
      </c>
      <c r="C83" s="189">
        <v>69.8</v>
      </c>
      <c r="D83" s="189">
        <v>59</v>
      </c>
      <c r="E83" s="190" t="s">
        <v>109</v>
      </c>
      <c r="F83" s="219">
        <f t="shared" ref="F83:Q86" si="103">F63/F43</f>
        <v>0.70016107049931842</v>
      </c>
      <c r="G83" s="220">
        <f t="shared" si="103"/>
        <v>0.70012121212121214</v>
      </c>
      <c r="H83" s="220">
        <f t="shared" si="103"/>
        <v>0.70007235890014474</v>
      </c>
      <c r="I83" s="220">
        <f t="shared" si="103"/>
        <v>0.70002417210539047</v>
      </c>
      <c r="J83" s="220">
        <f t="shared" si="103"/>
        <v>0.70004915212582952</v>
      </c>
      <c r="K83" s="220">
        <f t="shared" si="103"/>
        <v>0.73004581625271281</v>
      </c>
      <c r="L83" s="219">
        <f t="shared" si="103"/>
        <v>0.90712187958883994</v>
      </c>
      <c r="M83" s="219">
        <f t="shared" si="103"/>
        <v>0.93040010292036546</v>
      </c>
      <c r="N83" s="219">
        <f t="shared" si="103"/>
        <v>0.98097902097902101</v>
      </c>
      <c r="O83" s="219">
        <f t="shared" si="103"/>
        <v>0.9913029973598384</v>
      </c>
      <c r="P83" s="219">
        <f t="shared" si="103"/>
        <v>1</v>
      </c>
      <c r="Q83" s="221">
        <f t="shared" si="103"/>
        <v>1</v>
      </c>
      <c r="R83" s="226">
        <f t="shared" ca="1" si="89"/>
        <v>0.98097902097902101</v>
      </c>
      <c r="S83" s="152"/>
      <c r="T83" s="152"/>
      <c r="U83" s="146" t="s">
        <v>96</v>
      </c>
      <c r="V83" s="150">
        <f ca="1">FORECAST(INDOOR_DB,OFFSET(R83:R86,MATCH(INDOOR_DB,C83:C86,1)-1,0,2),OFFSET(C83:C86,MATCH(INDOOR_DB,C83:C86,1)-1,0,2))</f>
        <v>0.78945276461616354</v>
      </c>
      <c r="W83" s="145">
        <f>B83</f>
        <v>48</v>
      </c>
      <c r="X83" s="150">
        <f ca="1">IF(OR(INDOOR_DB&lt;C83,INDOOR_DB&gt;C86),V85,V83)</f>
        <v>0.78945276461616354</v>
      </c>
      <c r="AC83" s="164" t="s">
        <v>153</v>
      </c>
      <c r="AD83" s="164">
        <v>36</v>
      </c>
      <c r="AE83" s="165">
        <v>9</v>
      </c>
      <c r="AF83" s="165">
        <v>12</v>
      </c>
      <c r="AG83" s="165">
        <v>12</v>
      </c>
      <c r="AH83" s="164">
        <v>12</v>
      </c>
      <c r="AI83" s="164"/>
      <c r="AJ83" s="501"/>
      <c r="AK83" s="166">
        <f t="shared" ca="1" si="61"/>
        <v>39.961111111111116</v>
      </c>
      <c r="AL83" s="167">
        <f t="shared" ca="1" si="90"/>
        <v>7.9922222222222228</v>
      </c>
      <c r="AM83" s="167">
        <f t="shared" ca="1" si="91"/>
        <v>10.656296296296297</v>
      </c>
      <c r="AN83" s="167">
        <f t="shared" ca="1" si="92"/>
        <v>10.656296296296297</v>
      </c>
      <c r="AO83" s="167">
        <f t="shared" ca="1" si="93"/>
        <v>10.656296296296297</v>
      </c>
      <c r="AP83" s="178"/>
      <c r="AQ83" s="169">
        <f t="shared" ca="1" si="64"/>
        <v>49.699777777777783</v>
      </c>
      <c r="AR83" s="170">
        <f ca="1">INDEX('Cap based on indoor unit SZ'!$J$6:$J$21,MATCH(AE83,'Cap based on indoor unit SZ'!$I$6:$I$21))</f>
        <v>10.463111111111111</v>
      </c>
      <c r="AS83" s="170">
        <f ca="1">INDEX('Cap based on indoor unit SZ'!$J$6:$J$21,MATCH(AF83,'Cap based on indoor unit SZ'!$I$6:$I$21))</f>
        <v>13.078888888888891</v>
      </c>
      <c r="AT83" s="170">
        <f ca="1">INDEX('Cap based on indoor unit SZ'!$J$6:$J$21,MATCH(AG83,'Cap based on indoor unit SZ'!$I$6:$I$21))</f>
        <v>13.078888888888891</v>
      </c>
      <c r="AU83" s="170">
        <f ca="1">INDEX('Cap based on indoor unit SZ'!$J$6:$J$21,MATCH(AH83,'Cap based on indoor unit SZ'!$I$6:$I$21))</f>
        <v>13.078888888888891</v>
      </c>
      <c r="AV83" s="179"/>
      <c r="AW83" s="169">
        <f t="shared" si="65"/>
        <v>45</v>
      </c>
      <c r="AX83" s="170">
        <v>9</v>
      </c>
      <c r="AY83" s="170">
        <v>12</v>
      </c>
      <c r="AZ83" s="170">
        <v>12</v>
      </c>
      <c r="BA83" s="170">
        <v>12</v>
      </c>
      <c r="BB83" s="179"/>
      <c r="BC83" s="172">
        <f t="shared" ca="1" si="66"/>
        <v>39.961111111111116</v>
      </c>
      <c r="BD83" s="173">
        <f t="shared" ca="1" si="94"/>
        <v>7.9922222222222228</v>
      </c>
      <c r="BE83" s="173">
        <f t="shared" ca="1" si="94"/>
        <v>10.656296296296297</v>
      </c>
      <c r="BF83" s="173">
        <f t="shared" ca="1" si="94"/>
        <v>10.656296296296297</v>
      </c>
      <c r="BG83" s="173">
        <f t="shared" ca="1" si="94"/>
        <v>10.656296296296297</v>
      </c>
      <c r="BH83" s="180"/>
      <c r="BI83" s="166">
        <f t="shared" ca="1" si="69"/>
        <v>49.510333333333335</v>
      </c>
      <c r="BJ83" s="167">
        <f t="shared" ca="1" si="95"/>
        <v>9.9020666666666681</v>
      </c>
      <c r="BK83" s="167">
        <f t="shared" ca="1" si="96"/>
        <v>13.202755555555557</v>
      </c>
      <c r="BL83" s="167">
        <f t="shared" ca="1" si="97"/>
        <v>13.202755555555557</v>
      </c>
      <c r="BM83" s="167">
        <f t="shared" ca="1" si="98"/>
        <v>13.202755555555557</v>
      </c>
      <c r="BN83" s="178"/>
      <c r="BO83" s="169">
        <f t="shared" ca="1" si="72"/>
        <v>56.791097435897427</v>
      </c>
      <c r="BP83" s="170">
        <f ca="1">INDEX('Cap based on indoor unit SZ'!$V$43:$V$58,MATCH(AE83,'Cap based on indoor unit SZ'!$U$43:$U$58))</f>
        <v>11.956020512820512</v>
      </c>
      <c r="BQ83" s="170">
        <f ca="1">INDEX('Cap based on indoor unit SZ'!$V$43:$V$58,MATCH(AF83,'Cap based on indoor unit SZ'!$U$43:$U$58))</f>
        <v>14.945025641025641</v>
      </c>
      <c r="BR83" s="170">
        <f ca="1">INDEX('Cap based on indoor unit SZ'!$V$43:$V$58,MATCH(AG83,'Cap based on indoor unit SZ'!$U$43:$U$58))</f>
        <v>14.945025641025641</v>
      </c>
      <c r="BS83" s="170">
        <f ca="1">INDEX('Cap based on indoor unit SZ'!$V$43:$V$58,MATCH(AH83,'Cap based on indoor unit SZ'!$U$43:$U$58))</f>
        <v>14.945025641025641</v>
      </c>
      <c r="BT83" s="179"/>
      <c r="BU83" s="175">
        <v>9500</v>
      </c>
      <c r="BV83" s="175">
        <v>12500</v>
      </c>
      <c r="BW83" s="175">
        <v>12500</v>
      </c>
      <c r="BX83" s="175">
        <v>12500</v>
      </c>
      <c r="BY83" s="179"/>
      <c r="BZ83" s="172">
        <f t="shared" ca="1" si="73"/>
        <v>49.510333333333335</v>
      </c>
      <c r="CA83" s="173">
        <f t="shared" ca="1" si="99"/>
        <v>9.9020666666666681</v>
      </c>
      <c r="CB83" s="173">
        <f t="shared" ca="1" si="100"/>
        <v>13.202755555555557</v>
      </c>
      <c r="CC83" s="173">
        <f t="shared" ca="1" si="101"/>
        <v>13.202755555555557</v>
      </c>
      <c r="CD83" s="173">
        <f t="shared" ca="1" si="102"/>
        <v>13.202755555555557</v>
      </c>
      <c r="CE83" s="180"/>
      <c r="CF83" s="166">
        <f t="shared" ca="1" si="76"/>
        <v>31.87013798460152</v>
      </c>
      <c r="CG83" s="167">
        <f t="shared" ca="1" si="77"/>
        <v>6.3740275969203033</v>
      </c>
      <c r="CH83" s="167">
        <f t="shared" ca="1" si="77"/>
        <v>8.498703462560405</v>
      </c>
      <c r="CI83" s="167">
        <f t="shared" ca="1" si="77"/>
        <v>8.498703462560405</v>
      </c>
      <c r="CJ83" s="167">
        <f t="shared" ca="1" si="77"/>
        <v>8.498703462560405</v>
      </c>
      <c r="CK83" s="178"/>
    </row>
    <row r="84" spans="2:89">
      <c r="B84" s="196">
        <v>48</v>
      </c>
      <c r="C84" s="197">
        <v>75.2</v>
      </c>
      <c r="D84" s="197">
        <v>62.6</v>
      </c>
      <c r="E84" s="198" t="s">
        <v>109</v>
      </c>
      <c r="F84" s="223">
        <f t="shared" si="103"/>
        <v>0.72995296546977162</v>
      </c>
      <c r="G84" s="224">
        <f t="shared" si="103"/>
        <v>0.72996632996633004</v>
      </c>
      <c r="H84" s="224">
        <f t="shared" si="103"/>
        <v>0.72998324958123961</v>
      </c>
      <c r="I84" s="224">
        <f t="shared" si="103"/>
        <v>0.7299686660698298</v>
      </c>
      <c r="J84" s="224">
        <f t="shared" si="103"/>
        <v>0.7300034133576061</v>
      </c>
      <c r="K84" s="224">
        <f t="shared" si="103"/>
        <v>0.76992632283991957</v>
      </c>
      <c r="L84" s="223">
        <f t="shared" si="103"/>
        <v>0.82993428506684808</v>
      </c>
      <c r="M84" s="223">
        <f t="shared" si="103"/>
        <v>0.85002977963073267</v>
      </c>
      <c r="N84" s="223">
        <f t="shared" si="103"/>
        <v>0.8699818699818701</v>
      </c>
      <c r="O84" s="223">
        <f t="shared" si="103"/>
        <v>0.90005752085130863</v>
      </c>
      <c r="P84" s="223">
        <f t="shared" si="103"/>
        <v>1</v>
      </c>
      <c r="Q84" s="225">
        <f t="shared" si="103"/>
        <v>1</v>
      </c>
      <c r="R84" s="226">
        <f t="shared" ca="1" si="89"/>
        <v>0.8699818699818701</v>
      </c>
      <c r="S84" s="152"/>
      <c r="T84" s="152"/>
      <c r="U84" s="146"/>
      <c r="V84" s="151"/>
      <c r="W84" s="145"/>
      <c r="X84" s="227"/>
      <c r="AC84" s="164" t="s">
        <v>152</v>
      </c>
      <c r="AD84" s="164">
        <v>36</v>
      </c>
      <c r="AE84" s="165">
        <v>9</v>
      </c>
      <c r="AF84" s="165">
        <v>12</v>
      </c>
      <c r="AG84" s="165">
        <v>12</v>
      </c>
      <c r="AH84" s="164">
        <v>18</v>
      </c>
      <c r="AI84" s="164"/>
      <c r="AJ84" s="501"/>
      <c r="AK84" s="166">
        <f t="shared" ca="1" si="61"/>
        <v>39.961111111111109</v>
      </c>
      <c r="AL84" s="167">
        <f t="shared" ca="1" si="90"/>
        <v>7.0519607843137262</v>
      </c>
      <c r="AM84" s="167">
        <f t="shared" ca="1" si="91"/>
        <v>9.4026143790849677</v>
      </c>
      <c r="AN84" s="167">
        <f t="shared" ca="1" si="92"/>
        <v>9.4026143790849677</v>
      </c>
      <c r="AO84" s="167">
        <f t="shared" ca="1" si="93"/>
        <v>14.103921568627452</v>
      </c>
      <c r="AP84" s="178"/>
      <c r="AQ84" s="169">
        <f t="shared" ca="1" si="64"/>
        <v>56.442000000000007</v>
      </c>
      <c r="AR84" s="170">
        <f ca="1">INDEX('Cap based on indoor unit SZ'!$J$6:$J$21,MATCH(AE84,'Cap based on indoor unit SZ'!$I$6:$I$21))</f>
        <v>10.463111111111111</v>
      </c>
      <c r="AS84" s="170">
        <f ca="1">INDEX('Cap based on indoor unit SZ'!$J$6:$J$21,MATCH(AF84,'Cap based on indoor unit SZ'!$I$6:$I$21))</f>
        <v>13.078888888888891</v>
      </c>
      <c r="AT84" s="170">
        <f ca="1">INDEX('Cap based on indoor unit SZ'!$J$6:$J$21,MATCH(AG84,'Cap based on indoor unit SZ'!$I$6:$I$21))</f>
        <v>13.078888888888891</v>
      </c>
      <c r="AU84" s="170">
        <f ca="1">INDEX('Cap based on indoor unit SZ'!$J$6:$J$21,MATCH(AH84,'Cap based on indoor unit SZ'!$I$6:$I$21))</f>
        <v>19.821111111111112</v>
      </c>
      <c r="AV84" s="179"/>
      <c r="AW84" s="169">
        <f t="shared" si="65"/>
        <v>46</v>
      </c>
      <c r="AX84" s="170">
        <v>9</v>
      </c>
      <c r="AY84" s="170">
        <v>10.5</v>
      </c>
      <c r="AZ84" s="170">
        <v>10.5</v>
      </c>
      <c r="BA84" s="170">
        <v>16</v>
      </c>
      <c r="BB84" s="179"/>
      <c r="BC84" s="172">
        <f t="shared" ca="1" si="66"/>
        <v>39.961111111111109</v>
      </c>
      <c r="BD84" s="173">
        <f t="shared" ca="1" si="94"/>
        <v>7.0519607843137262</v>
      </c>
      <c r="BE84" s="173">
        <f t="shared" ca="1" si="94"/>
        <v>9.4026143790849677</v>
      </c>
      <c r="BF84" s="173">
        <f t="shared" ca="1" si="94"/>
        <v>9.4026143790849677</v>
      </c>
      <c r="BG84" s="173">
        <f t="shared" ca="1" si="94"/>
        <v>14.103921568627452</v>
      </c>
      <c r="BH84" s="180"/>
      <c r="BI84" s="166">
        <f t="shared" ca="1" si="69"/>
        <v>49.51033333333335</v>
      </c>
      <c r="BJ84" s="167">
        <f t="shared" ca="1" si="95"/>
        <v>8.7371176470588257</v>
      </c>
      <c r="BK84" s="167">
        <f t="shared" ca="1" si="96"/>
        <v>11.649490196078434</v>
      </c>
      <c r="BL84" s="167">
        <f t="shared" ca="1" si="97"/>
        <v>11.649490196078434</v>
      </c>
      <c r="BM84" s="167">
        <f t="shared" ca="1" si="98"/>
        <v>17.474235294117651</v>
      </c>
      <c r="BN84" s="178"/>
      <c r="BO84" s="169">
        <f t="shared" ca="1" si="72"/>
        <v>66.444892307692299</v>
      </c>
      <c r="BP84" s="170">
        <f ca="1">INDEX('Cap based on indoor unit SZ'!$V$43:$V$58,MATCH(AE84,'Cap based on indoor unit SZ'!$U$43:$U$58))</f>
        <v>11.956020512820512</v>
      </c>
      <c r="BQ84" s="170">
        <f ca="1">INDEX('Cap based on indoor unit SZ'!$V$43:$V$58,MATCH(AF84,'Cap based on indoor unit SZ'!$U$43:$U$58))</f>
        <v>14.945025641025641</v>
      </c>
      <c r="BR84" s="170">
        <f ca="1">INDEX('Cap based on indoor unit SZ'!$V$43:$V$58,MATCH(AG84,'Cap based on indoor unit SZ'!$U$43:$U$58))</f>
        <v>14.945025641025641</v>
      </c>
      <c r="BS84" s="170">
        <f ca="1">INDEX('Cap based on indoor unit SZ'!$V$43:$V$58,MATCH(AH84,'Cap based on indoor unit SZ'!$U$43:$U$58))</f>
        <v>24.598820512820513</v>
      </c>
      <c r="BT84" s="179"/>
      <c r="BU84" s="175">
        <v>9500</v>
      </c>
      <c r="BV84" s="175">
        <v>11500</v>
      </c>
      <c r="BW84" s="175">
        <v>11500</v>
      </c>
      <c r="BX84" s="175">
        <v>16500</v>
      </c>
      <c r="BY84" s="179"/>
      <c r="BZ84" s="172">
        <f t="shared" ca="1" si="73"/>
        <v>49.51033333333335</v>
      </c>
      <c r="CA84" s="173">
        <f t="shared" ca="1" si="99"/>
        <v>8.7371176470588257</v>
      </c>
      <c r="CB84" s="173">
        <f t="shared" ca="1" si="100"/>
        <v>11.649490196078434</v>
      </c>
      <c r="CC84" s="173">
        <f t="shared" ca="1" si="101"/>
        <v>11.649490196078434</v>
      </c>
      <c r="CD84" s="173">
        <f t="shared" ca="1" si="102"/>
        <v>17.474235294117651</v>
      </c>
      <c r="CE84" s="180"/>
      <c r="CF84" s="166">
        <f t="shared" ca="1" si="76"/>
        <v>31.870137984601516</v>
      </c>
      <c r="CG84" s="167">
        <f t="shared" ca="1" si="77"/>
        <v>5.6241419972826208</v>
      </c>
      <c r="CH84" s="167">
        <f t="shared" ca="1" si="77"/>
        <v>7.4988559963768271</v>
      </c>
      <c r="CI84" s="167">
        <f t="shared" ca="1" si="77"/>
        <v>7.4988559963768271</v>
      </c>
      <c r="CJ84" s="167">
        <f t="shared" ca="1" si="77"/>
        <v>11.248283994565242</v>
      </c>
      <c r="CK84" s="178"/>
    </row>
    <row r="85" spans="2:89">
      <c r="B85" s="196">
        <v>48</v>
      </c>
      <c r="C85" s="197">
        <v>80.599999999999994</v>
      </c>
      <c r="D85" s="197">
        <v>66.2</v>
      </c>
      <c r="E85" s="198" t="s">
        <v>109</v>
      </c>
      <c r="F85" s="223">
        <f t="shared" si="103"/>
        <v>0.72549019607843146</v>
      </c>
      <c r="G85" s="224">
        <f t="shared" si="103"/>
        <v>0.7255792400370713</v>
      </c>
      <c r="H85" s="224">
        <f t="shared" si="103"/>
        <v>0.72539726791190418</v>
      </c>
      <c r="I85" s="224">
        <f t="shared" si="103"/>
        <v>0.73150887573964507</v>
      </c>
      <c r="J85" s="224">
        <f t="shared" si="103"/>
        <v>0.72586588061901247</v>
      </c>
      <c r="K85" s="224">
        <f t="shared" si="103"/>
        <v>0.72593338213762804</v>
      </c>
      <c r="L85" s="223">
        <f t="shared" si="103"/>
        <v>0.7388529385692757</v>
      </c>
      <c r="M85" s="223">
        <f t="shared" si="103"/>
        <v>0.75829027712541097</v>
      </c>
      <c r="N85" s="223">
        <f t="shared" si="103"/>
        <v>0.77938662644544998</v>
      </c>
      <c r="O85" s="223">
        <f t="shared" si="103"/>
        <v>0.92963565794415925</v>
      </c>
      <c r="P85" s="223">
        <f t="shared" si="103"/>
        <v>0.9892186876081458</v>
      </c>
      <c r="Q85" s="225">
        <f t="shared" si="103"/>
        <v>1</v>
      </c>
      <c r="R85" s="226">
        <f t="shared" ca="1" si="89"/>
        <v>0.77938662644545009</v>
      </c>
      <c r="S85" s="152"/>
      <c r="T85" s="152"/>
      <c r="U85" s="146" t="s">
        <v>97</v>
      </c>
      <c r="V85" s="150">
        <f ca="1">TREND(R83:R86,C83:C86,INDOOR_DB)</f>
        <v>0.87789108893963907</v>
      </c>
      <c r="W85" s="145"/>
      <c r="X85" s="227"/>
      <c r="AC85" s="164" t="s">
        <v>151</v>
      </c>
      <c r="AD85" s="164">
        <v>36</v>
      </c>
      <c r="AE85" s="165">
        <v>9</v>
      </c>
      <c r="AF85" s="165">
        <v>12</v>
      </c>
      <c r="AG85" s="165">
        <v>12</v>
      </c>
      <c r="AH85" s="164">
        <v>24</v>
      </c>
      <c r="AI85" s="164"/>
      <c r="AJ85" s="501"/>
      <c r="AK85" s="166">
        <f t="shared" ca="1" si="61"/>
        <v>39.961111111111109</v>
      </c>
      <c r="AL85" s="167">
        <f t="shared" ca="1" si="90"/>
        <v>6.3096491228070182</v>
      </c>
      <c r="AM85" s="167">
        <f t="shared" ca="1" si="91"/>
        <v>8.412865497076023</v>
      </c>
      <c r="AN85" s="167">
        <f t="shared" ca="1" si="92"/>
        <v>8.412865497076023</v>
      </c>
      <c r="AO85" s="167">
        <f t="shared" ca="1" si="93"/>
        <v>16.825730994152046</v>
      </c>
      <c r="AP85" s="178"/>
      <c r="AQ85" s="169">
        <f t="shared" ca="1" si="64"/>
        <v>61.07311111111111</v>
      </c>
      <c r="AR85" s="170">
        <f ca="1">INDEX('Cap based on indoor unit SZ'!$J$6:$J$21,MATCH(AE85,'Cap based on indoor unit SZ'!$I$6:$I$21))</f>
        <v>10.463111111111111</v>
      </c>
      <c r="AS85" s="170">
        <f ca="1">INDEX('Cap based on indoor unit SZ'!$J$6:$J$21,MATCH(AF85,'Cap based on indoor unit SZ'!$I$6:$I$21))</f>
        <v>13.078888888888891</v>
      </c>
      <c r="AT85" s="170">
        <f ca="1">INDEX('Cap based on indoor unit SZ'!$J$6:$J$21,MATCH(AG85,'Cap based on indoor unit SZ'!$I$6:$I$21))</f>
        <v>13.078888888888891</v>
      </c>
      <c r="AU85" s="170">
        <f ca="1">INDEX('Cap based on indoor unit SZ'!$J$6:$J$21,MATCH(AH85,'Cap based on indoor unit SZ'!$I$6:$I$21))</f>
        <v>24.452222222222218</v>
      </c>
      <c r="AV85" s="179"/>
      <c r="AW85" s="169">
        <f t="shared" si="65"/>
        <v>48.5</v>
      </c>
      <c r="AX85" s="170">
        <v>8.5</v>
      </c>
      <c r="AY85" s="170">
        <v>10</v>
      </c>
      <c r="AZ85" s="170">
        <v>10</v>
      </c>
      <c r="BA85" s="170">
        <v>20</v>
      </c>
      <c r="BB85" s="179"/>
      <c r="BC85" s="172">
        <f t="shared" ca="1" si="66"/>
        <v>39.961111111111109</v>
      </c>
      <c r="BD85" s="173">
        <f t="shared" ca="1" si="94"/>
        <v>6.3096491228070182</v>
      </c>
      <c r="BE85" s="173">
        <f t="shared" ca="1" si="94"/>
        <v>8.412865497076023</v>
      </c>
      <c r="BF85" s="173">
        <f t="shared" ca="1" si="94"/>
        <v>8.412865497076023</v>
      </c>
      <c r="BG85" s="173">
        <f t="shared" ca="1" si="94"/>
        <v>16.825730994152046</v>
      </c>
      <c r="BH85" s="180"/>
      <c r="BI85" s="166">
        <f t="shared" ca="1" si="69"/>
        <v>49.510333333333342</v>
      </c>
      <c r="BJ85" s="167">
        <f t="shared" ca="1" si="95"/>
        <v>7.8174210526315804</v>
      </c>
      <c r="BK85" s="167">
        <f t="shared" ca="1" si="96"/>
        <v>10.423228070175441</v>
      </c>
      <c r="BL85" s="167">
        <f t="shared" ca="1" si="97"/>
        <v>10.423228070175441</v>
      </c>
      <c r="BM85" s="167">
        <f t="shared" ca="1" si="98"/>
        <v>20.846456140350881</v>
      </c>
      <c r="BN85" s="178"/>
      <c r="BO85" s="169">
        <f t="shared" ca="1" si="72"/>
        <v>72.136071794871796</v>
      </c>
      <c r="BP85" s="170">
        <f ca="1">INDEX('Cap based on indoor unit SZ'!$V$43:$V$58,MATCH(AE85,'Cap based on indoor unit SZ'!$U$43:$U$58))</f>
        <v>11.956020512820512</v>
      </c>
      <c r="BQ85" s="170">
        <f ca="1">INDEX('Cap based on indoor unit SZ'!$V$43:$V$58,MATCH(AF85,'Cap based on indoor unit SZ'!$U$43:$U$58))</f>
        <v>14.945025641025641</v>
      </c>
      <c r="BR85" s="170">
        <f ca="1">INDEX('Cap based on indoor unit SZ'!$V$43:$V$58,MATCH(AG85,'Cap based on indoor unit SZ'!$U$43:$U$58))</f>
        <v>14.945025641025641</v>
      </c>
      <c r="BS85" s="170">
        <f ca="1">INDEX('Cap based on indoor unit SZ'!$V$43:$V$58,MATCH(AH85,'Cap based on indoor unit SZ'!$U$43:$U$58))</f>
        <v>30.290000000000003</v>
      </c>
      <c r="BT85" s="179"/>
      <c r="BU85" s="175">
        <v>9000</v>
      </c>
      <c r="BV85" s="175">
        <v>10500</v>
      </c>
      <c r="BW85" s="175">
        <v>10500</v>
      </c>
      <c r="BX85" s="175">
        <v>20500</v>
      </c>
      <c r="BY85" s="179"/>
      <c r="BZ85" s="172">
        <f t="shared" ca="1" si="73"/>
        <v>49.510333333333342</v>
      </c>
      <c r="CA85" s="173">
        <f t="shared" ca="1" si="99"/>
        <v>7.8174210526315804</v>
      </c>
      <c r="CB85" s="173">
        <f t="shared" ca="1" si="100"/>
        <v>10.423228070175441</v>
      </c>
      <c r="CC85" s="173">
        <f t="shared" ca="1" si="101"/>
        <v>10.423228070175441</v>
      </c>
      <c r="CD85" s="173">
        <f t="shared" ca="1" si="102"/>
        <v>20.846456140350881</v>
      </c>
      <c r="CE85" s="180"/>
      <c r="CF85" s="166">
        <f t="shared" ca="1" si="76"/>
        <v>31.870137984601516</v>
      </c>
      <c r="CG85" s="167">
        <f t="shared" ca="1" si="77"/>
        <v>5.0321270502002395</v>
      </c>
      <c r="CH85" s="167">
        <f t="shared" ca="1" si="77"/>
        <v>6.7095027336003188</v>
      </c>
      <c r="CI85" s="167">
        <f t="shared" ca="1" si="77"/>
        <v>6.7095027336003188</v>
      </c>
      <c r="CJ85" s="167">
        <f t="shared" ca="1" si="77"/>
        <v>13.419005467200638</v>
      </c>
      <c r="CK85" s="178"/>
    </row>
    <row r="86" spans="2:89" ht="14.4" thickBot="1">
      <c r="B86" s="204">
        <v>48</v>
      </c>
      <c r="C86" s="205">
        <v>89.6</v>
      </c>
      <c r="D86" s="205">
        <v>73.400000000000006</v>
      </c>
      <c r="E86" s="206" t="s">
        <v>109</v>
      </c>
      <c r="F86" s="228">
        <f t="shared" si="103"/>
        <v>0.73991880920162378</v>
      </c>
      <c r="G86" s="229">
        <f t="shared" si="103"/>
        <v>0.73989408649602839</v>
      </c>
      <c r="H86" s="229">
        <f t="shared" si="103"/>
        <v>0.74006549252146214</v>
      </c>
      <c r="I86" s="229">
        <f t="shared" si="103"/>
        <v>0.73998415074403445</v>
      </c>
      <c r="J86" s="229">
        <f t="shared" si="103"/>
        <v>0.73997719098166492</v>
      </c>
      <c r="K86" s="229">
        <f t="shared" si="103"/>
        <v>0.77995642701525059</v>
      </c>
      <c r="L86" s="228">
        <f t="shared" si="103"/>
        <v>0.83005487547488388</v>
      </c>
      <c r="M86" s="228">
        <f t="shared" si="103"/>
        <v>0.86006978616802365</v>
      </c>
      <c r="N86" s="228">
        <f t="shared" si="103"/>
        <v>0.90001915341888528</v>
      </c>
      <c r="O86" s="228">
        <f t="shared" si="103"/>
        <v>0.94992249910575888</v>
      </c>
      <c r="P86" s="228">
        <f t="shared" si="103"/>
        <v>1</v>
      </c>
      <c r="Q86" s="230">
        <f t="shared" si="103"/>
        <v>1</v>
      </c>
      <c r="R86" s="231">
        <f t="shared" ca="1" si="89"/>
        <v>0.90001915341888528</v>
      </c>
      <c r="S86" s="152"/>
      <c r="T86" s="152"/>
      <c r="U86" s="146"/>
      <c r="V86" s="152"/>
      <c r="W86" s="152"/>
      <c r="X86" s="152"/>
      <c r="AC86" s="164" t="s">
        <v>150</v>
      </c>
      <c r="AD86" s="164">
        <v>36</v>
      </c>
      <c r="AE86" s="165">
        <v>9</v>
      </c>
      <c r="AF86" s="165">
        <v>12</v>
      </c>
      <c r="AG86" s="165">
        <v>18</v>
      </c>
      <c r="AH86" s="164">
        <v>18</v>
      </c>
      <c r="AI86" s="164"/>
      <c r="AJ86" s="501"/>
      <c r="AK86" s="166">
        <f t="shared" ca="1" si="61"/>
        <v>39.961111111111109</v>
      </c>
      <c r="AL86" s="167">
        <f t="shared" ca="1" si="90"/>
        <v>6.3096491228070173</v>
      </c>
      <c r="AM86" s="167">
        <f t="shared" ca="1" si="91"/>
        <v>8.412865497076023</v>
      </c>
      <c r="AN86" s="167">
        <f t="shared" ca="1" si="92"/>
        <v>12.619298245614035</v>
      </c>
      <c r="AO86" s="167">
        <f t="shared" ca="1" si="93"/>
        <v>12.619298245614035</v>
      </c>
      <c r="AP86" s="178"/>
      <c r="AQ86" s="169">
        <f t="shared" ca="1" si="64"/>
        <v>63.184222222222218</v>
      </c>
      <c r="AR86" s="170">
        <f ca="1">INDEX('Cap based on indoor unit SZ'!$J$6:$J$21,MATCH(AE86,'Cap based on indoor unit SZ'!$I$6:$I$21))</f>
        <v>10.463111111111111</v>
      </c>
      <c r="AS86" s="170">
        <f ca="1">INDEX('Cap based on indoor unit SZ'!$J$6:$J$21,MATCH(AF86,'Cap based on indoor unit SZ'!$I$6:$I$21))</f>
        <v>13.078888888888891</v>
      </c>
      <c r="AT86" s="170">
        <f ca="1">INDEX('Cap based on indoor unit SZ'!$J$6:$J$21,MATCH(AG86,'Cap based on indoor unit SZ'!$I$6:$I$21))</f>
        <v>19.821111111111112</v>
      </c>
      <c r="AU86" s="170">
        <f ca="1">INDEX('Cap based on indoor unit SZ'!$J$6:$J$21,MATCH(AH86,'Cap based on indoor unit SZ'!$I$6:$I$21))</f>
        <v>19.821111111111112</v>
      </c>
      <c r="AV86" s="179"/>
      <c r="AW86" s="169">
        <f t="shared" si="65"/>
        <v>48.5</v>
      </c>
      <c r="AX86" s="170">
        <v>8.5</v>
      </c>
      <c r="AY86" s="170">
        <v>10</v>
      </c>
      <c r="AZ86" s="170">
        <v>15</v>
      </c>
      <c r="BA86" s="170">
        <v>15</v>
      </c>
      <c r="BB86" s="179"/>
      <c r="BC86" s="172">
        <f t="shared" ca="1" si="66"/>
        <v>39.961111111111109</v>
      </c>
      <c r="BD86" s="173">
        <f t="shared" ca="1" si="94"/>
        <v>6.3096491228070173</v>
      </c>
      <c r="BE86" s="173">
        <f t="shared" ca="1" si="94"/>
        <v>8.412865497076023</v>
      </c>
      <c r="BF86" s="173">
        <f t="shared" ca="1" si="94"/>
        <v>12.619298245614035</v>
      </c>
      <c r="BG86" s="173">
        <f t="shared" ca="1" si="94"/>
        <v>12.619298245614035</v>
      </c>
      <c r="BH86" s="180"/>
      <c r="BI86" s="166">
        <f t="shared" ca="1" si="69"/>
        <v>49.510333333333335</v>
      </c>
      <c r="BJ86" s="167">
        <f t="shared" ca="1" si="95"/>
        <v>7.8174210526315795</v>
      </c>
      <c r="BK86" s="167">
        <f t="shared" ca="1" si="96"/>
        <v>10.423228070175439</v>
      </c>
      <c r="BL86" s="167">
        <f t="shared" ca="1" si="97"/>
        <v>15.634842105263159</v>
      </c>
      <c r="BM86" s="167">
        <f t="shared" ca="1" si="98"/>
        <v>15.634842105263159</v>
      </c>
      <c r="BN86" s="178"/>
      <c r="BO86" s="169">
        <f t="shared" ca="1" si="72"/>
        <v>76.098687179487172</v>
      </c>
      <c r="BP86" s="170">
        <f ca="1">INDEX('Cap based on indoor unit SZ'!$V$43:$V$58,MATCH(AE86,'Cap based on indoor unit SZ'!$U$43:$U$58))</f>
        <v>11.956020512820512</v>
      </c>
      <c r="BQ86" s="170">
        <f ca="1">INDEX('Cap based on indoor unit SZ'!$V$43:$V$58,MATCH(AF86,'Cap based on indoor unit SZ'!$U$43:$U$58))</f>
        <v>14.945025641025641</v>
      </c>
      <c r="BR86" s="170">
        <f ca="1">INDEX('Cap based on indoor unit SZ'!$V$43:$V$58,MATCH(AG86,'Cap based on indoor unit SZ'!$U$43:$U$58))</f>
        <v>24.598820512820513</v>
      </c>
      <c r="BS86" s="170">
        <f ca="1">INDEX('Cap based on indoor unit SZ'!$V$43:$V$58,MATCH(AH86,'Cap based on indoor unit SZ'!$U$43:$U$58))</f>
        <v>24.598820512820513</v>
      </c>
      <c r="BT86" s="179"/>
      <c r="BU86" s="175">
        <v>9000</v>
      </c>
      <c r="BV86" s="175">
        <v>10500</v>
      </c>
      <c r="BW86" s="175">
        <v>15500</v>
      </c>
      <c r="BX86" s="175">
        <v>15500</v>
      </c>
      <c r="BY86" s="179"/>
      <c r="BZ86" s="172">
        <f t="shared" ca="1" si="73"/>
        <v>49.510333333333335</v>
      </c>
      <c r="CA86" s="173">
        <f t="shared" ca="1" si="99"/>
        <v>7.8174210526315795</v>
      </c>
      <c r="CB86" s="173">
        <f t="shared" ca="1" si="100"/>
        <v>10.423228070175439</v>
      </c>
      <c r="CC86" s="173">
        <f t="shared" ca="1" si="101"/>
        <v>15.634842105263159</v>
      </c>
      <c r="CD86" s="173">
        <f t="shared" ca="1" si="102"/>
        <v>15.634842105263159</v>
      </c>
      <c r="CE86" s="180"/>
      <c r="CF86" s="166">
        <f t="shared" ca="1" si="76"/>
        <v>31.870137984601516</v>
      </c>
      <c r="CG86" s="167">
        <f t="shared" ca="1" si="77"/>
        <v>5.0321270502002395</v>
      </c>
      <c r="CH86" s="167">
        <f t="shared" ca="1" si="77"/>
        <v>6.7095027336003188</v>
      </c>
      <c r="CI86" s="167">
        <f t="shared" ca="1" si="77"/>
        <v>10.064254100400479</v>
      </c>
      <c r="CJ86" s="167">
        <f t="shared" ca="1" si="77"/>
        <v>10.064254100400479</v>
      </c>
      <c r="CK86" s="178"/>
    </row>
    <row r="87" spans="2:89">
      <c r="B87" s="284">
        <v>18</v>
      </c>
      <c r="C87" s="284">
        <v>69.8</v>
      </c>
      <c r="D87" s="284">
        <v>59</v>
      </c>
      <c r="E87" s="8" t="s">
        <v>17</v>
      </c>
      <c r="F87" s="9">
        <v>1.375</v>
      </c>
      <c r="G87" s="9">
        <v>1.41</v>
      </c>
      <c r="H87" s="9">
        <v>1.4550000000000001</v>
      </c>
      <c r="I87" s="9">
        <v>1.4950000000000001</v>
      </c>
      <c r="J87" s="9">
        <v>1.54</v>
      </c>
      <c r="K87" s="9">
        <v>1.57</v>
      </c>
      <c r="L87" s="9">
        <v>1.6</v>
      </c>
      <c r="M87" s="9">
        <v>1.75</v>
      </c>
      <c r="N87" s="9">
        <v>1.915</v>
      </c>
      <c r="O87" s="9">
        <v>1.45</v>
      </c>
      <c r="P87" s="9">
        <v>1.5049999999999999</v>
      </c>
      <c r="Q87" s="9">
        <v>1.4300000000000002</v>
      </c>
      <c r="R87" s="6"/>
      <c r="AC87" s="164" t="s">
        <v>149</v>
      </c>
      <c r="AD87" s="164">
        <v>36</v>
      </c>
      <c r="AE87" s="165">
        <v>9</v>
      </c>
      <c r="AF87" s="165">
        <v>18</v>
      </c>
      <c r="AG87" s="165">
        <v>18</v>
      </c>
      <c r="AH87" s="164">
        <v>18</v>
      </c>
      <c r="AI87" s="164"/>
      <c r="AJ87" s="501"/>
      <c r="AK87" s="166">
        <f t="shared" ca="1" si="61"/>
        <v>39.961111111111109</v>
      </c>
      <c r="AL87" s="167">
        <f t="shared" ca="1" si="90"/>
        <v>5.708730158730158</v>
      </c>
      <c r="AM87" s="167">
        <f t="shared" ca="1" si="91"/>
        <v>11.417460317460316</v>
      </c>
      <c r="AN87" s="167">
        <f t="shared" ca="1" si="92"/>
        <v>11.417460317460316</v>
      </c>
      <c r="AO87" s="167">
        <f t="shared" ca="1" si="93"/>
        <v>11.417460317460316</v>
      </c>
      <c r="AP87" s="178"/>
      <c r="AQ87" s="169">
        <f t="shared" ca="1" si="64"/>
        <v>69.926444444444442</v>
      </c>
      <c r="AR87" s="170">
        <f ca="1">INDEX('Cap based on indoor unit SZ'!$J$6:$J$21,MATCH(AE87,'Cap based on indoor unit SZ'!$I$6:$I$21))</f>
        <v>10.463111111111111</v>
      </c>
      <c r="AS87" s="170">
        <f ca="1">INDEX('Cap based on indoor unit SZ'!$J$6:$J$21,MATCH(AF87,'Cap based on indoor unit SZ'!$I$6:$I$21))</f>
        <v>19.821111111111112</v>
      </c>
      <c r="AT87" s="170">
        <f ca="1">INDEX('Cap based on indoor unit SZ'!$J$6:$J$21,MATCH(AG87,'Cap based on indoor unit SZ'!$I$6:$I$21))</f>
        <v>19.821111111111112</v>
      </c>
      <c r="AU87" s="170">
        <f ca="1">INDEX('Cap based on indoor unit SZ'!$J$6:$J$21,MATCH(AH87,'Cap based on indoor unit SZ'!$I$6:$I$21))</f>
        <v>19.821111111111112</v>
      </c>
      <c r="AV87" s="179"/>
      <c r="AW87" s="169">
        <f t="shared" si="65"/>
        <v>50</v>
      </c>
      <c r="AX87" s="170">
        <v>8</v>
      </c>
      <c r="AY87" s="170">
        <v>14</v>
      </c>
      <c r="AZ87" s="170">
        <v>14</v>
      </c>
      <c r="BA87" s="170">
        <v>14</v>
      </c>
      <c r="BB87" s="179"/>
      <c r="BC87" s="172">
        <f t="shared" ca="1" si="66"/>
        <v>39.961111111111109</v>
      </c>
      <c r="BD87" s="173">
        <f t="shared" ca="1" si="94"/>
        <v>5.708730158730158</v>
      </c>
      <c r="BE87" s="173">
        <f t="shared" ca="1" si="94"/>
        <v>11.417460317460316</v>
      </c>
      <c r="BF87" s="173">
        <f t="shared" ca="1" si="94"/>
        <v>11.417460317460316</v>
      </c>
      <c r="BG87" s="173">
        <f t="shared" ca="1" si="94"/>
        <v>11.417460317460316</v>
      </c>
      <c r="BH87" s="180"/>
      <c r="BI87" s="166">
        <f t="shared" ca="1" si="69"/>
        <v>49.510333333333335</v>
      </c>
      <c r="BJ87" s="167">
        <f t="shared" ca="1" si="95"/>
        <v>7.0729047619047618</v>
      </c>
      <c r="BK87" s="167">
        <f t="shared" ca="1" si="96"/>
        <v>14.145809523809524</v>
      </c>
      <c r="BL87" s="167">
        <f t="shared" ca="1" si="97"/>
        <v>14.145809523809524</v>
      </c>
      <c r="BM87" s="167">
        <f t="shared" ca="1" si="98"/>
        <v>14.145809523809524</v>
      </c>
      <c r="BN87" s="178"/>
      <c r="BO87" s="169">
        <f t="shared" ca="1" si="72"/>
        <v>85.752482051282044</v>
      </c>
      <c r="BP87" s="170">
        <f ca="1">INDEX('Cap based on indoor unit SZ'!$V$43:$V$58,MATCH(AE87,'Cap based on indoor unit SZ'!$U$43:$U$58))</f>
        <v>11.956020512820512</v>
      </c>
      <c r="BQ87" s="170">
        <f ca="1">INDEX('Cap based on indoor unit SZ'!$V$43:$V$58,MATCH(AF87,'Cap based on indoor unit SZ'!$U$43:$U$58))</f>
        <v>24.598820512820513</v>
      </c>
      <c r="BR87" s="170">
        <f ca="1">INDEX('Cap based on indoor unit SZ'!$V$43:$V$58,MATCH(AG87,'Cap based on indoor unit SZ'!$U$43:$U$58))</f>
        <v>24.598820512820513</v>
      </c>
      <c r="BS87" s="170">
        <f ca="1">INDEX('Cap based on indoor unit SZ'!$V$43:$V$58,MATCH(AH87,'Cap based on indoor unit SZ'!$U$43:$U$58))</f>
        <v>24.598820512820513</v>
      </c>
      <c r="BT87" s="179"/>
      <c r="BU87" s="175">
        <v>8500</v>
      </c>
      <c r="BV87" s="175">
        <v>14500</v>
      </c>
      <c r="BW87" s="175">
        <v>14500</v>
      </c>
      <c r="BX87" s="175">
        <v>14500</v>
      </c>
      <c r="BY87" s="179"/>
      <c r="BZ87" s="172">
        <f t="shared" ca="1" si="73"/>
        <v>49.510333333333335</v>
      </c>
      <c r="CA87" s="173">
        <f t="shared" ca="1" si="99"/>
        <v>7.0729047619047618</v>
      </c>
      <c r="CB87" s="173">
        <f t="shared" ca="1" si="100"/>
        <v>14.145809523809524</v>
      </c>
      <c r="CC87" s="173">
        <f t="shared" ca="1" si="101"/>
        <v>14.145809523809524</v>
      </c>
      <c r="CD87" s="173">
        <f t="shared" ca="1" si="102"/>
        <v>14.145809523809524</v>
      </c>
      <c r="CE87" s="180"/>
      <c r="CF87" s="166">
        <f t="shared" ca="1" si="76"/>
        <v>31.870137984601513</v>
      </c>
      <c r="CG87" s="167">
        <f t="shared" ca="1" si="77"/>
        <v>4.5528768549430731</v>
      </c>
      <c r="CH87" s="167">
        <f t="shared" ca="1" si="77"/>
        <v>9.1057537098861463</v>
      </c>
      <c r="CI87" s="167">
        <f t="shared" ca="1" si="77"/>
        <v>9.1057537098861463</v>
      </c>
      <c r="CJ87" s="167">
        <f t="shared" ca="1" si="77"/>
        <v>9.1057537098861463</v>
      </c>
      <c r="CK87" s="178"/>
    </row>
    <row r="88" spans="2:89">
      <c r="B88" s="284">
        <v>18</v>
      </c>
      <c r="C88" s="284">
        <v>75.2</v>
      </c>
      <c r="D88" s="284">
        <v>62.6</v>
      </c>
      <c r="E88" s="8" t="s">
        <v>17</v>
      </c>
      <c r="F88" s="9">
        <v>1.415</v>
      </c>
      <c r="G88" s="9">
        <v>1.46</v>
      </c>
      <c r="H88" s="9">
        <v>1.5049999999999999</v>
      </c>
      <c r="I88" s="9">
        <v>1.5449999999999999</v>
      </c>
      <c r="J88" s="9">
        <v>1.59</v>
      </c>
      <c r="K88" s="9">
        <v>1.62</v>
      </c>
      <c r="L88" s="9">
        <v>1.65</v>
      </c>
      <c r="M88" s="9">
        <v>1.8</v>
      </c>
      <c r="N88" s="9">
        <v>1.9649999999999999</v>
      </c>
      <c r="O88" s="9">
        <v>1.5</v>
      </c>
      <c r="P88" s="9">
        <v>1.54</v>
      </c>
      <c r="Q88" s="9">
        <v>1.35</v>
      </c>
      <c r="R88" s="6"/>
      <c r="AC88" s="164" t="s">
        <v>148</v>
      </c>
      <c r="AD88" s="164">
        <v>36</v>
      </c>
      <c r="AE88" s="165">
        <v>12</v>
      </c>
      <c r="AF88" s="165">
        <v>12</v>
      </c>
      <c r="AG88" s="165">
        <v>12</v>
      </c>
      <c r="AH88" s="164">
        <v>12</v>
      </c>
      <c r="AI88" s="164"/>
      <c r="AJ88" s="501"/>
      <c r="AK88" s="166">
        <f t="shared" ca="1" si="61"/>
        <v>39.961111111111109</v>
      </c>
      <c r="AL88" s="167">
        <f t="shared" ca="1" si="90"/>
        <v>9.9902777777777771</v>
      </c>
      <c r="AM88" s="167">
        <f t="shared" ca="1" si="91"/>
        <v>9.9902777777777771</v>
      </c>
      <c r="AN88" s="167">
        <f t="shared" ca="1" si="92"/>
        <v>9.9902777777777771</v>
      </c>
      <c r="AO88" s="167">
        <f t="shared" ca="1" si="93"/>
        <v>9.9902777777777771</v>
      </c>
      <c r="AP88" s="178"/>
      <c r="AQ88" s="169">
        <f t="shared" ca="1" si="64"/>
        <v>52.315555555555562</v>
      </c>
      <c r="AR88" s="170">
        <f ca="1">INDEX('Cap based on indoor unit SZ'!$J$6:$J$21,MATCH(AE88,'Cap based on indoor unit SZ'!$I$6:$I$21))</f>
        <v>13.078888888888891</v>
      </c>
      <c r="AS88" s="170">
        <f ca="1">INDEX('Cap based on indoor unit SZ'!$J$6:$J$21,MATCH(AF88,'Cap based on indoor unit SZ'!$I$6:$I$21))</f>
        <v>13.078888888888891</v>
      </c>
      <c r="AT88" s="170">
        <f ca="1">INDEX('Cap based on indoor unit SZ'!$J$6:$J$21,MATCH(AG88,'Cap based on indoor unit SZ'!$I$6:$I$21))</f>
        <v>13.078888888888891</v>
      </c>
      <c r="AU88" s="170">
        <f ca="1">INDEX('Cap based on indoor unit SZ'!$J$6:$J$21,MATCH(AH88,'Cap based on indoor unit SZ'!$I$6:$I$21))</f>
        <v>13.078888888888891</v>
      </c>
      <c r="AV88" s="179"/>
      <c r="AW88" s="169">
        <f t="shared" si="65"/>
        <v>48</v>
      </c>
      <c r="AX88" s="170">
        <v>12</v>
      </c>
      <c r="AY88" s="170">
        <v>12</v>
      </c>
      <c r="AZ88" s="170">
        <v>12</v>
      </c>
      <c r="BA88" s="170">
        <v>12</v>
      </c>
      <c r="BB88" s="179"/>
      <c r="BC88" s="172">
        <f t="shared" ca="1" si="66"/>
        <v>39.961111111111109</v>
      </c>
      <c r="BD88" s="173">
        <f t="shared" ca="1" si="94"/>
        <v>9.9902777777777771</v>
      </c>
      <c r="BE88" s="173">
        <f t="shared" ca="1" si="94"/>
        <v>9.9902777777777771</v>
      </c>
      <c r="BF88" s="173">
        <f t="shared" ca="1" si="94"/>
        <v>9.9902777777777771</v>
      </c>
      <c r="BG88" s="173">
        <f t="shared" ca="1" si="94"/>
        <v>9.9902777777777771</v>
      </c>
      <c r="BH88" s="180"/>
      <c r="BI88" s="166">
        <f t="shared" ca="1" si="69"/>
        <v>49.510333333333335</v>
      </c>
      <c r="BJ88" s="167">
        <f t="shared" ca="1" si="95"/>
        <v>12.377583333333334</v>
      </c>
      <c r="BK88" s="167">
        <f t="shared" ca="1" si="96"/>
        <v>12.377583333333334</v>
      </c>
      <c r="BL88" s="167">
        <f t="shared" ca="1" si="97"/>
        <v>12.377583333333334</v>
      </c>
      <c r="BM88" s="167">
        <f t="shared" ca="1" si="98"/>
        <v>12.377583333333334</v>
      </c>
      <c r="BN88" s="178"/>
      <c r="BO88" s="169">
        <f t="shared" ca="1" si="72"/>
        <v>59.780102564102563</v>
      </c>
      <c r="BP88" s="170">
        <f ca="1">INDEX('Cap based on indoor unit SZ'!$V$43:$V$58,MATCH(AE88,'Cap based on indoor unit SZ'!$U$43:$U$58))</f>
        <v>14.945025641025641</v>
      </c>
      <c r="BQ88" s="170">
        <f ca="1">INDEX('Cap based on indoor unit SZ'!$V$43:$V$58,MATCH(AF88,'Cap based on indoor unit SZ'!$U$43:$U$58))</f>
        <v>14.945025641025641</v>
      </c>
      <c r="BR88" s="170">
        <f ca="1">INDEX('Cap based on indoor unit SZ'!$V$43:$V$58,MATCH(AG88,'Cap based on indoor unit SZ'!$U$43:$U$58))</f>
        <v>14.945025641025641</v>
      </c>
      <c r="BS88" s="170">
        <f ca="1">INDEX('Cap based on indoor unit SZ'!$V$43:$V$58,MATCH(AH88,'Cap based on indoor unit SZ'!$U$43:$U$58))</f>
        <v>14.945025641025641</v>
      </c>
      <c r="BT88" s="179"/>
      <c r="BU88" s="175">
        <v>12500</v>
      </c>
      <c r="BV88" s="175">
        <v>12500</v>
      </c>
      <c r="BW88" s="175">
        <v>12500</v>
      </c>
      <c r="BX88" s="175">
        <v>12500</v>
      </c>
      <c r="BY88" s="179"/>
      <c r="BZ88" s="172">
        <f t="shared" ca="1" si="73"/>
        <v>49.510333333333335</v>
      </c>
      <c r="CA88" s="173">
        <f t="shared" ca="1" si="99"/>
        <v>12.377583333333334</v>
      </c>
      <c r="CB88" s="173">
        <f t="shared" ca="1" si="100"/>
        <v>12.377583333333334</v>
      </c>
      <c r="CC88" s="173">
        <f t="shared" ca="1" si="101"/>
        <v>12.377583333333334</v>
      </c>
      <c r="CD88" s="173">
        <f t="shared" ca="1" si="102"/>
        <v>12.377583333333334</v>
      </c>
      <c r="CE88" s="180"/>
      <c r="CF88" s="166">
        <f t="shared" ca="1" si="76"/>
        <v>31.870137984601513</v>
      </c>
      <c r="CG88" s="167">
        <f t="shared" ca="1" si="77"/>
        <v>7.9675344961503782</v>
      </c>
      <c r="CH88" s="167">
        <f t="shared" ca="1" si="77"/>
        <v>7.9675344961503782</v>
      </c>
      <c r="CI88" s="167">
        <f t="shared" ca="1" si="77"/>
        <v>7.9675344961503782</v>
      </c>
      <c r="CJ88" s="167">
        <f t="shared" ca="1" si="77"/>
        <v>7.9675344961503782</v>
      </c>
      <c r="CK88" s="178"/>
    </row>
    <row r="89" spans="2:89">
      <c r="B89" s="284">
        <v>18</v>
      </c>
      <c r="C89" s="284">
        <v>80.599999999999994</v>
      </c>
      <c r="D89" s="284">
        <v>66.2</v>
      </c>
      <c r="E89" s="8" t="s">
        <v>17</v>
      </c>
      <c r="F89" s="9">
        <v>1.4550000000000001</v>
      </c>
      <c r="G89" s="9">
        <v>1.49</v>
      </c>
      <c r="H89" s="9">
        <v>1.53</v>
      </c>
      <c r="I89" s="9">
        <v>1.5750000000000002</v>
      </c>
      <c r="J89" s="9">
        <v>1.605</v>
      </c>
      <c r="K89" s="9">
        <v>1.625</v>
      </c>
      <c r="L89" s="9">
        <v>1.645</v>
      </c>
      <c r="M89" s="9">
        <v>1.835</v>
      </c>
      <c r="N89" s="9">
        <v>2.0099999999999998</v>
      </c>
      <c r="O89" s="9">
        <v>1.4849999999999999</v>
      </c>
      <c r="P89" s="9">
        <v>1.55</v>
      </c>
      <c r="Q89" s="9">
        <v>1.4700000000000002</v>
      </c>
      <c r="R89" s="6"/>
      <c r="AC89" s="164" t="s">
        <v>147</v>
      </c>
      <c r="AD89" s="164">
        <v>36</v>
      </c>
      <c r="AE89" s="165">
        <v>12</v>
      </c>
      <c r="AF89" s="165">
        <v>12</v>
      </c>
      <c r="AG89" s="165">
        <v>12</v>
      </c>
      <c r="AH89" s="164">
        <v>18</v>
      </c>
      <c r="AI89" s="164"/>
      <c r="AJ89" s="501"/>
      <c r="AK89" s="166">
        <f t="shared" ca="1" si="61"/>
        <v>39.961111111111109</v>
      </c>
      <c r="AL89" s="167">
        <f t="shared" ca="1" si="90"/>
        <v>8.8802469135802458</v>
      </c>
      <c r="AM89" s="167">
        <f t="shared" ca="1" si="91"/>
        <v>8.8802469135802458</v>
      </c>
      <c r="AN89" s="167">
        <f t="shared" ca="1" si="92"/>
        <v>8.8802469135802458</v>
      </c>
      <c r="AO89" s="167">
        <f t="shared" ca="1" si="93"/>
        <v>13.32037037037037</v>
      </c>
      <c r="AP89" s="178"/>
      <c r="AQ89" s="169">
        <f t="shared" ca="1" si="64"/>
        <v>59.057777777777787</v>
      </c>
      <c r="AR89" s="170">
        <f ca="1">INDEX('Cap based on indoor unit SZ'!$J$6:$J$21,MATCH(AE89,'Cap based on indoor unit SZ'!$I$6:$I$21))</f>
        <v>13.078888888888891</v>
      </c>
      <c r="AS89" s="170">
        <f ca="1">INDEX('Cap based on indoor unit SZ'!$J$6:$J$21,MATCH(AF89,'Cap based on indoor unit SZ'!$I$6:$I$21))</f>
        <v>13.078888888888891</v>
      </c>
      <c r="AT89" s="170">
        <f ca="1">INDEX('Cap based on indoor unit SZ'!$J$6:$J$21,MATCH(AG89,'Cap based on indoor unit SZ'!$I$6:$I$21))</f>
        <v>13.078888888888891</v>
      </c>
      <c r="AU89" s="170">
        <f ca="1">INDEX('Cap based on indoor unit SZ'!$J$6:$J$21,MATCH(AH89,'Cap based on indoor unit SZ'!$I$6:$I$21))</f>
        <v>19.821111111111112</v>
      </c>
      <c r="AV89" s="179"/>
      <c r="AW89" s="169">
        <f t="shared" si="65"/>
        <v>49</v>
      </c>
      <c r="AX89" s="170">
        <v>11</v>
      </c>
      <c r="AY89" s="170">
        <v>11</v>
      </c>
      <c r="AZ89" s="170">
        <v>11</v>
      </c>
      <c r="BA89" s="170">
        <v>16</v>
      </c>
      <c r="BB89" s="179"/>
      <c r="BC89" s="172">
        <f t="shared" ca="1" si="66"/>
        <v>39.961111111111109</v>
      </c>
      <c r="BD89" s="173">
        <f t="shared" ca="1" si="94"/>
        <v>8.8802469135802458</v>
      </c>
      <c r="BE89" s="173">
        <f t="shared" ca="1" si="94"/>
        <v>8.8802469135802458</v>
      </c>
      <c r="BF89" s="173">
        <f t="shared" ca="1" si="94"/>
        <v>8.8802469135802458</v>
      </c>
      <c r="BG89" s="173">
        <f t="shared" ca="1" si="94"/>
        <v>13.32037037037037</v>
      </c>
      <c r="BH89" s="180"/>
      <c r="BI89" s="166">
        <f t="shared" ca="1" si="69"/>
        <v>49.510333333333335</v>
      </c>
      <c r="BJ89" s="167">
        <f t="shared" ca="1" si="95"/>
        <v>11.002296296296295</v>
      </c>
      <c r="BK89" s="167">
        <f t="shared" ca="1" si="96"/>
        <v>11.002296296296295</v>
      </c>
      <c r="BL89" s="167">
        <f t="shared" ca="1" si="97"/>
        <v>11.002296296296295</v>
      </c>
      <c r="BM89" s="167">
        <f t="shared" ca="1" si="98"/>
        <v>16.503444444444444</v>
      </c>
      <c r="BN89" s="178"/>
      <c r="BO89" s="169">
        <f t="shared" ca="1" si="72"/>
        <v>69.433897435897435</v>
      </c>
      <c r="BP89" s="170">
        <f ca="1">INDEX('Cap based on indoor unit SZ'!$V$43:$V$58,MATCH(AE89,'Cap based on indoor unit SZ'!$U$43:$U$58))</f>
        <v>14.945025641025641</v>
      </c>
      <c r="BQ89" s="170">
        <f ca="1">INDEX('Cap based on indoor unit SZ'!$V$43:$V$58,MATCH(AF89,'Cap based on indoor unit SZ'!$U$43:$U$58))</f>
        <v>14.945025641025641</v>
      </c>
      <c r="BR89" s="170">
        <f ca="1">INDEX('Cap based on indoor unit SZ'!$V$43:$V$58,MATCH(AG89,'Cap based on indoor unit SZ'!$U$43:$U$58))</f>
        <v>14.945025641025641</v>
      </c>
      <c r="BS89" s="170">
        <f ca="1">INDEX('Cap based on indoor unit SZ'!$V$43:$V$58,MATCH(AH89,'Cap based on indoor unit SZ'!$U$43:$U$58))</f>
        <v>24.598820512820513</v>
      </c>
      <c r="BT89" s="179"/>
      <c r="BU89" s="175">
        <v>11500</v>
      </c>
      <c r="BV89" s="175">
        <v>11500</v>
      </c>
      <c r="BW89" s="175">
        <v>11500</v>
      </c>
      <c r="BX89" s="175">
        <v>16500</v>
      </c>
      <c r="BY89" s="179"/>
      <c r="BZ89" s="172">
        <f t="shared" ca="1" si="73"/>
        <v>49.510333333333335</v>
      </c>
      <c r="CA89" s="173">
        <f t="shared" ca="1" si="99"/>
        <v>11.002296296296295</v>
      </c>
      <c r="CB89" s="173">
        <f t="shared" ca="1" si="100"/>
        <v>11.002296296296295</v>
      </c>
      <c r="CC89" s="173">
        <f t="shared" ca="1" si="101"/>
        <v>11.002296296296295</v>
      </c>
      <c r="CD89" s="173">
        <f t="shared" ca="1" si="102"/>
        <v>16.503444444444444</v>
      </c>
      <c r="CE89" s="180"/>
      <c r="CF89" s="166">
        <f t="shared" ca="1" si="76"/>
        <v>31.870137984601513</v>
      </c>
      <c r="CG89" s="167">
        <f t="shared" ca="1" si="77"/>
        <v>7.0822528854670024</v>
      </c>
      <c r="CH89" s="167">
        <f t="shared" ca="1" si="77"/>
        <v>7.0822528854670024</v>
      </c>
      <c r="CI89" s="167">
        <f t="shared" ca="1" si="77"/>
        <v>7.0822528854670024</v>
      </c>
      <c r="CJ89" s="167">
        <f t="shared" ca="1" si="77"/>
        <v>10.623379328200505</v>
      </c>
      <c r="CK89" s="178"/>
    </row>
    <row r="90" spans="2:89">
      <c r="B90" s="284">
        <v>18</v>
      </c>
      <c r="C90" s="284">
        <v>89.6</v>
      </c>
      <c r="D90" s="284">
        <v>73.400000000000006</v>
      </c>
      <c r="E90" s="8" t="s">
        <v>17</v>
      </c>
      <c r="F90" s="9">
        <v>1.5049999999999999</v>
      </c>
      <c r="G90" s="9">
        <v>1.54</v>
      </c>
      <c r="H90" s="9">
        <v>1.58</v>
      </c>
      <c r="I90" s="9">
        <v>1.625</v>
      </c>
      <c r="J90" s="9">
        <v>1.6549999999999998</v>
      </c>
      <c r="K90" s="9">
        <v>1.72</v>
      </c>
      <c r="L90" s="9">
        <v>1.6949999999999998</v>
      </c>
      <c r="M90" s="9">
        <v>1.885</v>
      </c>
      <c r="N90" s="9">
        <v>2.14</v>
      </c>
      <c r="O90" s="9">
        <v>1.5350000000000001</v>
      </c>
      <c r="P90" s="9">
        <v>1.6</v>
      </c>
      <c r="Q90" s="9">
        <v>1.52</v>
      </c>
      <c r="R90" s="6"/>
      <c r="AC90" s="164" t="s">
        <v>146</v>
      </c>
      <c r="AD90" s="164">
        <v>36</v>
      </c>
      <c r="AE90" s="165">
        <v>12</v>
      </c>
      <c r="AF90" s="165">
        <v>12</v>
      </c>
      <c r="AG90" s="165">
        <v>12</v>
      </c>
      <c r="AH90" s="164">
        <v>24</v>
      </c>
      <c r="AI90" s="164"/>
      <c r="AJ90" s="501"/>
      <c r="AK90" s="166">
        <f t="shared" ca="1" si="61"/>
        <v>39.961111111111109</v>
      </c>
      <c r="AL90" s="167">
        <f t="shared" ca="1" si="90"/>
        <v>7.9922222222222219</v>
      </c>
      <c r="AM90" s="167">
        <f t="shared" ca="1" si="91"/>
        <v>7.9922222222222219</v>
      </c>
      <c r="AN90" s="167">
        <f t="shared" ca="1" si="92"/>
        <v>7.9922222222222219</v>
      </c>
      <c r="AO90" s="167">
        <f t="shared" ca="1" si="93"/>
        <v>15.984444444444444</v>
      </c>
      <c r="AP90" s="178"/>
      <c r="AQ90" s="169">
        <f t="shared" ca="1" si="64"/>
        <v>63.68888888888889</v>
      </c>
      <c r="AR90" s="170">
        <f ca="1">INDEX('Cap based on indoor unit SZ'!$J$6:$J$21,MATCH(AE90,'Cap based on indoor unit SZ'!$I$6:$I$21))</f>
        <v>13.078888888888891</v>
      </c>
      <c r="AS90" s="170">
        <f ca="1">INDEX('Cap based on indoor unit SZ'!$J$6:$J$21,MATCH(AF90,'Cap based on indoor unit SZ'!$I$6:$I$21))</f>
        <v>13.078888888888891</v>
      </c>
      <c r="AT90" s="170">
        <f ca="1">INDEX('Cap based on indoor unit SZ'!$J$6:$J$21,MATCH(AG90,'Cap based on indoor unit SZ'!$I$6:$I$21))</f>
        <v>13.078888888888891</v>
      </c>
      <c r="AU90" s="170">
        <f ca="1">INDEX('Cap based on indoor unit SZ'!$J$6:$J$21,MATCH(AH90,'Cap based on indoor unit SZ'!$I$6:$I$21))</f>
        <v>24.452222222222218</v>
      </c>
      <c r="AV90" s="179"/>
      <c r="AW90" s="169">
        <f t="shared" si="65"/>
        <v>50</v>
      </c>
      <c r="AX90" s="170">
        <v>10</v>
      </c>
      <c r="AY90" s="170">
        <v>10</v>
      </c>
      <c r="AZ90" s="170">
        <v>10</v>
      </c>
      <c r="BA90" s="170">
        <v>20</v>
      </c>
      <c r="BB90" s="179"/>
      <c r="BC90" s="172">
        <f t="shared" ca="1" si="66"/>
        <v>39.961111111111109</v>
      </c>
      <c r="BD90" s="173">
        <f t="shared" ca="1" si="94"/>
        <v>7.9922222222222219</v>
      </c>
      <c r="BE90" s="173">
        <f t="shared" ca="1" si="94"/>
        <v>7.9922222222222219</v>
      </c>
      <c r="BF90" s="173">
        <f t="shared" ca="1" si="94"/>
        <v>7.9922222222222219</v>
      </c>
      <c r="BG90" s="173">
        <f t="shared" ca="1" si="94"/>
        <v>15.984444444444444</v>
      </c>
      <c r="BH90" s="180"/>
      <c r="BI90" s="166">
        <f t="shared" ca="1" si="69"/>
        <v>49.510333333333335</v>
      </c>
      <c r="BJ90" s="167">
        <f t="shared" ca="1" si="95"/>
        <v>9.9020666666666664</v>
      </c>
      <c r="BK90" s="167">
        <f t="shared" ca="1" si="96"/>
        <v>9.9020666666666664</v>
      </c>
      <c r="BL90" s="167">
        <f t="shared" ca="1" si="97"/>
        <v>9.9020666666666664</v>
      </c>
      <c r="BM90" s="167">
        <f t="shared" ca="1" si="98"/>
        <v>19.804133333333333</v>
      </c>
      <c r="BN90" s="178"/>
      <c r="BO90" s="169">
        <f t="shared" ca="1" si="72"/>
        <v>75.125076923076932</v>
      </c>
      <c r="BP90" s="170">
        <f ca="1">INDEX('Cap based on indoor unit SZ'!$V$43:$V$58,MATCH(AE90,'Cap based on indoor unit SZ'!$U$43:$U$58))</f>
        <v>14.945025641025641</v>
      </c>
      <c r="BQ90" s="170">
        <f ca="1">INDEX('Cap based on indoor unit SZ'!$V$43:$V$58,MATCH(AF90,'Cap based on indoor unit SZ'!$U$43:$U$58))</f>
        <v>14.945025641025641</v>
      </c>
      <c r="BR90" s="170">
        <f ca="1">INDEX('Cap based on indoor unit SZ'!$V$43:$V$58,MATCH(AG90,'Cap based on indoor unit SZ'!$U$43:$U$58))</f>
        <v>14.945025641025641</v>
      </c>
      <c r="BS90" s="170">
        <f ca="1">INDEX('Cap based on indoor unit SZ'!$V$43:$V$58,MATCH(AH90,'Cap based on indoor unit SZ'!$U$43:$U$58))</f>
        <v>30.290000000000003</v>
      </c>
      <c r="BT90" s="179"/>
      <c r="BU90" s="175">
        <v>10500</v>
      </c>
      <c r="BV90" s="175">
        <v>10500</v>
      </c>
      <c r="BW90" s="175">
        <v>10500</v>
      </c>
      <c r="BX90" s="175">
        <v>20500</v>
      </c>
      <c r="BY90" s="179"/>
      <c r="BZ90" s="172">
        <f t="shared" ca="1" si="73"/>
        <v>49.510333333333335</v>
      </c>
      <c r="CA90" s="173">
        <f t="shared" ca="1" si="99"/>
        <v>9.9020666666666664</v>
      </c>
      <c r="CB90" s="173">
        <f t="shared" ca="1" si="100"/>
        <v>9.9020666666666664</v>
      </c>
      <c r="CC90" s="173">
        <f t="shared" ca="1" si="101"/>
        <v>9.9020666666666664</v>
      </c>
      <c r="CD90" s="173">
        <f t="shared" ca="1" si="102"/>
        <v>19.804133333333333</v>
      </c>
      <c r="CE90" s="180"/>
      <c r="CF90" s="166">
        <f t="shared" ca="1" si="76"/>
        <v>31.870137984601516</v>
      </c>
      <c r="CG90" s="167">
        <f t="shared" ca="1" si="77"/>
        <v>6.3740275969203033</v>
      </c>
      <c r="CH90" s="167">
        <f t="shared" ca="1" si="77"/>
        <v>6.3740275969203033</v>
      </c>
      <c r="CI90" s="167">
        <f t="shared" ca="1" si="77"/>
        <v>6.3740275969203033</v>
      </c>
      <c r="CJ90" s="167">
        <f t="shared" ca="1" si="77"/>
        <v>12.748055193840607</v>
      </c>
      <c r="CK90" s="178"/>
    </row>
    <row r="91" spans="2:89">
      <c r="B91" s="283">
        <v>24</v>
      </c>
      <c r="C91" s="284">
        <v>69.8</v>
      </c>
      <c r="D91" s="284">
        <v>59</v>
      </c>
      <c r="E91" s="8" t="s">
        <v>17</v>
      </c>
      <c r="F91" s="9">
        <v>2.0999999999999996</v>
      </c>
      <c r="G91" s="9">
        <v>2.15</v>
      </c>
      <c r="H91" s="9">
        <v>2.16</v>
      </c>
      <c r="I91" s="9">
        <v>2.1799999999999997</v>
      </c>
      <c r="J91" s="9">
        <v>2.2000000000000002</v>
      </c>
      <c r="K91" s="9">
        <v>2.2149999999999999</v>
      </c>
      <c r="L91" s="9">
        <v>2.2350000000000003</v>
      </c>
      <c r="M91" s="9">
        <v>2.2699999999999996</v>
      </c>
      <c r="N91" s="9">
        <v>2.5049999999999999</v>
      </c>
      <c r="O91" s="9">
        <v>2.395</v>
      </c>
      <c r="P91" s="9">
        <v>2.5300000000000002</v>
      </c>
      <c r="Q91" s="9">
        <v>2.59</v>
      </c>
      <c r="R91" s="6"/>
      <c r="AC91" s="164" t="s">
        <v>275</v>
      </c>
      <c r="AD91" s="164">
        <v>36</v>
      </c>
      <c r="AE91" s="165">
        <v>12</v>
      </c>
      <c r="AF91" s="165">
        <v>12</v>
      </c>
      <c r="AG91" s="165">
        <v>18</v>
      </c>
      <c r="AH91" s="164">
        <v>18</v>
      </c>
      <c r="AI91" s="164"/>
      <c r="AJ91" s="501"/>
      <c r="AK91" s="166">
        <f t="shared" ca="1" si="61"/>
        <v>39.961111111111109</v>
      </c>
      <c r="AL91" s="167">
        <f t="shared" ca="1" si="90"/>
        <v>7.9922222222222219</v>
      </c>
      <c r="AM91" s="167">
        <f t="shared" ca="1" si="91"/>
        <v>7.9922222222222219</v>
      </c>
      <c r="AN91" s="167">
        <f t="shared" ca="1" si="92"/>
        <v>11.988333333333333</v>
      </c>
      <c r="AO91" s="167">
        <f t="shared" ca="1" si="93"/>
        <v>11.988333333333333</v>
      </c>
      <c r="AP91" s="178"/>
      <c r="AQ91" s="169">
        <f t="shared" ca="1" si="64"/>
        <v>65.8</v>
      </c>
      <c r="AR91" s="170">
        <f ca="1">INDEX('Cap based on indoor unit SZ'!$J$6:$J$21,MATCH(AE91,'Cap based on indoor unit SZ'!$I$6:$I$21))</f>
        <v>13.078888888888891</v>
      </c>
      <c r="AS91" s="170">
        <f ca="1">INDEX('Cap based on indoor unit SZ'!$J$6:$J$21,MATCH(AF91,'Cap based on indoor unit SZ'!$I$6:$I$21))</f>
        <v>13.078888888888891</v>
      </c>
      <c r="AT91" s="170">
        <f ca="1">INDEX('Cap based on indoor unit SZ'!$J$6:$J$21,MATCH(AG91,'Cap based on indoor unit SZ'!$I$6:$I$21))</f>
        <v>19.821111111111112</v>
      </c>
      <c r="AU91" s="170">
        <f ca="1">INDEX('Cap based on indoor unit SZ'!$J$6:$J$21,MATCH(AH91,'Cap based on indoor unit SZ'!$I$6:$I$21))</f>
        <v>19.821111111111112</v>
      </c>
      <c r="AV91" s="179"/>
      <c r="AW91" s="169">
        <f t="shared" si="65"/>
        <v>50</v>
      </c>
      <c r="AX91" s="170">
        <v>10</v>
      </c>
      <c r="AY91" s="170">
        <v>10</v>
      </c>
      <c r="AZ91" s="170">
        <v>15</v>
      </c>
      <c r="BA91" s="170">
        <v>15</v>
      </c>
      <c r="BB91" s="179"/>
      <c r="BC91" s="172">
        <f t="shared" ca="1" si="66"/>
        <v>39.961111111111109</v>
      </c>
      <c r="BD91" s="173">
        <f t="shared" ca="1" si="94"/>
        <v>7.9922222222222219</v>
      </c>
      <c r="BE91" s="173">
        <f t="shared" ca="1" si="94"/>
        <v>7.9922222222222219</v>
      </c>
      <c r="BF91" s="173">
        <f t="shared" ca="1" si="94"/>
        <v>11.988333333333333</v>
      </c>
      <c r="BG91" s="173">
        <f t="shared" ca="1" si="94"/>
        <v>11.988333333333333</v>
      </c>
      <c r="BH91" s="180"/>
      <c r="BI91" s="166">
        <f t="shared" ca="1" si="69"/>
        <v>49.510333333333335</v>
      </c>
      <c r="BJ91" s="167">
        <f t="shared" ca="1" si="95"/>
        <v>9.9020666666666664</v>
      </c>
      <c r="BK91" s="167">
        <f t="shared" ca="1" si="96"/>
        <v>9.9020666666666664</v>
      </c>
      <c r="BL91" s="167">
        <f t="shared" ca="1" si="97"/>
        <v>14.853100000000001</v>
      </c>
      <c r="BM91" s="167">
        <f t="shared" ca="1" si="98"/>
        <v>14.853100000000001</v>
      </c>
      <c r="BN91" s="178"/>
      <c r="BO91" s="169">
        <f t="shared" ca="1" si="72"/>
        <v>79.087692307692308</v>
      </c>
      <c r="BP91" s="170">
        <f ca="1">INDEX('Cap based on indoor unit SZ'!$V$43:$V$58,MATCH(AE91,'Cap based on indoor unit SZ'!$U$43:$U$58))</f>
        <v>14.945025641025641</v>
      </c>
      <c r="BQ91" s="170">
        <f ca="1">INDEX('Cap based on indoor unit SZ'!$V$43:$V$58,MATCH(AF91,'Cap based on indoor unit SZ'!$U$43:$U$58))</f>
        <v>14.945025641025641</v>
      </c>
      <c r="BR91" s="170">
        <f ca="1">INDEX('Cap based on indoor unit SZ'!$V$43:$V$58,MATCH(AG91,'Cap based on indoor unit SZ'!$U$43:$U$58))</f>
        <v>24.598820512820513</v>
      </c>
      <c r="BS91" s="170">
        <f ca="1">INDEX('Cap based on indoor unit SZ'!$V$43:$V$58,MATCH(AH91,'Cap based on indoor unit SZ'!$U$43:$U$58))</f>
        <v>24.598820512820513</v>
      </c>
      <c r="BT91" s="179"/>
      <c r="BU91" s="175">
        <v>10500</v>
      </c>
      <c r="BV91" s="175">
        <v>10500</v>
      </c>
      <c r="BW91" s="175">
        <v>15500</v>
      </c>
      <c r="BX91" s="175">
        <v>15500</v>
      </c>
      <c r="BY91" s="179"/>
      <c r="BZ91" s="172">
        <f t="shared" ca="1" si="73"/>
        <v>49.510333333333335</v>
      </c>
      <c r="CA91" s="173">
        <f t="shared" ca="1" si="99"/>
        <v>9.9020666666666664</v>
      </c>
      <c r="CB91" s="173">
        <f t="shared" ca="1" si="100"/>
        <v>9.9020666666666664</v>
      </c>
      <c r="CC91" s="173">
        <f t="shared" ca="1" si="101"/>
        <v>14.853100000000001</v>
      </c>
      <c r="CD91" s="173">
        <f t="shared" ca="1" si="102"/>
        <v>14.853100000000001</v>
      </c>
      <c r="CE91" s="180"/>
      <c r="CF91" s="166">
        <f t="shared" ca="1" si="76"/>
        <v>31.87013798460152</v>
      </c>
      <c r="CG91" s="167">
        <f t="shared" ca="1" si="77"/>
        <v>6.3740275969203033</v>
      </c>
      <c r="CH91" s="167">
        <f t="shared" ca="1" si="77"/>
        <v>6.3740275969203033</v>
      </c>
      <c r="CI91" s="167">
        <f t="shared" ca="1" si="77"/>
        <v>9.5610413953804549</v>
      </c>
      <c r="CJ91" s="167">
        <f t="shared" ca="1" si="77"/>
        <v>9.5610413953804549</v>
      </c>
      <c r="CK91" s="178"/>
    </row>
    <row r="92" spans="2:89">
      <c r="B92" s="283">
        <v>24</v>
      </c>
      <c r="C92" s="284">
        <v>75.2</v>
      </c>
      <c r="D92" s="284">
        <v>62.6</v>
      </c>
      <c r="E92" s="8" t="s">
        <v>17</v>
      </c>
      <c r="F92" s="9">
        <v>2.1399999999999997</v>
      </c>
      <c r="G92" s="9">
        <v>2.19</v>
      </c>
      <c r="H92" s="9">
        <v>2.2000000000000002</v>
      </c>
      <c r="I92" s="9">
        <v>2.2199999999999998</v>
      </c>
      <c r="J92" s="9">
        <v>2.2400000000000002</v>
      </c>
      <c r="K92" s="9">
        <v>2.2549999999999999</v>
      </c>
      <c r="L92" s="9">
        <v>2.2750000000000004</v>
      </c>
      <c r="M92" s="9">
        <v>2.3099999999999996</v>
      </c>
      <c r="N92" s="9">
        <v>2.5449999999999999</v>
      </c>
      <c r="O92" s="9">
        <v>2.4350000000000001</v>
      </c>
      <c r="P92" s="9">
        <v>2.6</v>
      </c>
      <c r="Q92" s="9">
        <v>2.63</v>
      </c>
      <c r="R92" s="6"/>
      <c r="AC92" s="160" t="s">
        <v>50</v>
      </c>
      <c r="AD92" s="160">
        <v>48</v>
      </c>
      <c r="AE92" s="160"/>
      <c r="AF92" s="160"/>
      <c r="AG92" s="160"/>
      <c r="AH92" s="160"/>
      <c r="AI92" s="160"/>
      <c r="AJ92" s="160"/>
      <c r="AK92" s="166"/>
      <c r="AL92" s="272" t="s">
        <v>60</v>
      </c>
      <c r="AM92" s="272" t="s">
        <v>61</v>
      </c>
      <c r="AN92" s="272" t="s">
        <v>62</v>
      </c>
      <c r="AO92" s="272" t="s">
        <v>63</v>
      </c>
      <c r="AP92" s="272" t="s">
        <v>64</v>
      </c>
      <c r="AQ92" s="169"/>
      <c r="AR92" s="160" t="s">
        <v>60</v>
      </c>
      <c r="AS92" s="160" t="s">
        <v>61</v>
      </c>
      <c r="AT92" s="160" t="s">
        <v>62</v>
      </c>
      <c r="AU92" s="160" t="s">
        <v>63</v>
      </c>
      <c r="AV92" s="160" t="s">
        <v>64</v>
      </c>
      <c r="AW92" s="169"/>
      <c r="AX92" s="160" t="s">
        <v>60</v>
      </c>
      <c r="AY92" s="160" t="s">
        <v>61</v>
      </c>
      <c r="AZ92" s="160" t="s">
        <v>62</v>
      </c>
      <c r="BA92" s="160" t="s">
        <v>63</v>
      </c>
      <c r="BB92" s="160" t="s">
        <v>64</v>
      </c>
      <c r="BC92" s="172"/>
      <c r="BD92" s="274" t="s">
        <v>60</v>
      </c>
      <c r="BE92" s="274" t="s">
        <v>61</v>
      </c>
      <c r="BF92" s="274" t="s">
        <v>62</v>
      </c>
      <c r="BG92" s="274" t="s">
        <v>63</v>
      </c>
      <c r="BH92" s="274" t="s">
        <v>64</v>
      </c>
      <c r="BI92" s="166"/>
      <c r="BJ92" s="272" t="s">
        <v>60</v>
      </c>
      <c r="BK92" s="272" t="s">
        <v>61</v>
      </c>
      <c r="BL92" s="272" t="s">
        <v>62</v>
      </c>
      <c r="BM92" s="272" t="s">
        <v>63</v>
      </c>
      <c r="BN92" s="272" t="s">
        <v>64</v>
      </c>
      <c r="BO92" s="169"/>
      <c r="BP92" s="160" t="s">
        <v>60</v>
      </c>
      <c r="BQ92" s="160" t="s">
        <v>61</v>
      </c>
      <c r="BR92" s="160" t="s">
        <v>62</v>
      </c>
      <c r="BS92" s="160" t="s">
        <v>63</v>
      </c>
      <c r="BT92" s="160" t="s">
        <v>64</v>
      </c>
      <c r="BU92" s="160" t="s">
        <v>60</v>
      </c>
      <c r="BV92" s="160" t="s">
        <v>61</v>
      </c>
      <c r="BW92" s="160" t="s">
        <v>62</v>
      </c>
      <c r="BX92" s="160" t="s">
        <v>63</v>
      </c>
      <c r="BY92" s="160" t="s">
        <v>64</v>
      </c>
      <c r="BZ92" s="172"/>
      <c r="CA92" s="274" t="s">
        <v>60</v>
      </c>
      <c r="CB92" s="274" t="s">
        <v>61</v>
      </c>
      <c r="CC92" s="274" t="s">
        <v>62</v>
      </c>
      <c r="CD92" s="274" t="s">
        <v>63</v>
      </c>
      <c r="CE92" s="274" t="s">
        <v>64</v>
      </c>
      <c r="CF92" s="166"/>
      <c r="CG92" s="272" t="s">
        <v>60</v>
      </c>
      <c r="CH92" s="272" t="s">
        <v>61</v>
      </c>
      <c r="CI92" s="272" t="s">
        <v>62</v>
      </c>
      <c r="CJ92" s="272" t="s">
        <v>63</v>
      </c>
      <c r="CK92" s="272" t="s">
        <v>64</v>
      </c>
    </row>
    <row r="93" spans="2:89">
      <c r="B93" s="283">
        <v>24</v>
      </c>
      <c r="C93" s="284">
        <v>80.599999999999994</v>
      </c>
      <c r="D93" s="284">
        <v>66.2</v>
      </c>
      <c r="E93" s="8" t="s">
        <v>17</v>
      </c>
      <c r="F93" s="9">
        <v>2.1550000000000002</v>
      </c>
      <c r="G93" s="9">
        <v>2.2000000000000002</v>
      </c>
      <c r="H93" s="9">
        <v>2.2400000000000002</v>
      </c>
      <c r="I93" s="9">
        <v>2.34</v>
      </c>
      <c r="J93" s="9">
        <v>2.8650000000000002</v>
      </c>
      <c r="K93" s="9">
        <v>2.415</v>
      </c>
      <c r="L93" s="9">
        <v>2.46</v>
      </c>
      <c r="M93" s="9">
        <v>2.7350000000000003</v>
      </c>
      <c r="N93" s="9">
        <v>3.0350000000000001</v>
      </c>
      <c r="O93" s="9">
        <v>2.4850000000000003</v>
      </c>
      <c r="P93" s="9">
        <v>2.58</v>
      </c>
      <c r="Q93" s="9">
        <v>2.6850000000000001</v>
      </c>
      <c r="R93" s="6"/>
      <c r="AC93" s="164" t="s">
        <v>188</v>
      </c>
      <c r="AD93" s="164">
        <v>48</v>
      </c>
      <c r="AE93" s="165">
        <v>9</v>
      </c>
      <c r="AF93" s="165">
        <v>18</v>
      </c>
      <c r="AG93" s="165"/>
      <c r="AH93" s="164"/>
      <c r="AI93" s="164"/>
      <c r="AJ93" s="500">
        <v>2</v>
      </c>
      <c r="AK93" s="166">
        <f t="shared" ref="AK93:AK148" ca="1" si="104">SUM(AL93:AP93)</f>
        <v>30.284222222222223</v>
      </c>
      <c r="AL93" s="167">
        <f t="shared" ref="AL93:AL100" ca="1" si="105">IF((INDEX($AA$4:$AA$7,MATCH(INDOOR_1,$Z$4:$Z$7))*(INDEX($X$27:$X$46,MATCH($AD93,$W$27:$W$46,1))/(INDEX($AA$4:$AA$7,MATCH(INDOOR_1,$Z$4:$Z$7))+INDEX($AA$4:$AA$7,MATCH(INDOOR_2,$Z$4:$Z$7)))))
&gt;AR93,AR93,
(INDEX($AA$4:$AA$7,MATCH(INDOOR_1,$Z$4:$Z$7))*(INDEX($X$27:$X$46,MATCH($AD93,$W$27:$W$46,1))/(INDEX($AA$4:$AA$7,MATCH(INDOOR_1,$Z$4:$Z$7))+INDEX($AA$4:$AA$7,MATCH(INDOOR_2,$Z$4:$Z$7))))))</f>
        <v>10.463111111111111</v>
      </c>
      <c r="AM93" s="167">
        <f t="shared" ref="AM93:AM100" ca="1" si="106">IF((INDEX($AA$4:$AA$7,MATCH(INDOOR_2,$Z$4:$Z$7))*(INDEX($X$27:$X$46,MATCH($AD93,$W$27:$W$46,1))/(INDEX($AA$4:$AA$7,MATCH(INDOOR_1,$Z$4:$Z$7))+INDEX($AA$4:$AA$7,MATCH(INDOOR_2,$Z$4:$Z$7)))))
&gt;AS93,AS93,
(INDEX($AA$4:$AA$7,MATCH(INDOOR_2,$Z$4:$Z$7))*(INDEX($X$27:$X$46,MATCH($AD93,$W$27:$W$46,1))/(INDEX($AA$4:$AA$7,MATCH(INDOOR_1,$Z$4:$Z$7))+INDEX($AA$4:$AA$7,MATCH(INDOOR_2,$Z$4:$Z$7))))))</f>
        <v>19.821111111111112</v>
      </c>
      <c r="AN93" s="178"/>
      <c r="AO93" s="178"/>
      <c r="AP93" s="178"/>
      <c r="AQ93" s="169">
        <f t="shared" ref="AQ93:AQ124" ca="1" si="107">SUM(AR93:AV93)</f>
        <v>30.284222222222223</v>
      </c>
      <c r="AR93" s="170">
        <f ca="1">INDEX('Cap based on indoor unit SZ'!$J$6:$J$21,MATCH(AE93,'Cap based on indoor unit SZ'!$I$6:$I$21))</f>
        <v>10.463111111111111</v>
      </c>
      <c r="AS93" s="170">
        <f ca="1">INDEX('Cap based on indoor unit SZ'!$J$6:$J$21,MATCH(AF93,'Cap based on indoor unit SZ'!$I$6:$I$21))</f>
        <v>19.821111111111112</v>
      </c>
      <c r="AT93" s="179"/>
      <c r="AU93" s="179"/>
      <c r="AV93" s="179"/>
      <c r="AW93" s="169">
        <f t="shared" ref="AW93:AW148" si="108">SUM(AX93:BB93)</f>
        <v>27.5</v>
      </c>
      <c r="AX93" s="170">
        <v>9.5</v>
      </c>
      <c r="AY93" s="170">
        <v>18</v>
      </c>
      <c r="AZ93" s="179"/>
      <c r="BA93" s="179"/>
      <c r="BB93" s="179"/>
      <c r="BC93" s="172">
        <f t="shared" ref="BC93:BC124" ca="1" si="109">SUM(BD93:BH93)</f>
        <v>48.489999999999995</v>
      </c>
      <c r="BD93" s="173">
        <f t="shared" ref="BD93:BD100" ca="1" si="110">(INDEX($AA$4:$AA$7,MATCH(AE93,$Z$4:$Z$7))*(INDEX($X$27:$X$46,MATCH($AD93,$W$27:$W$46,1))/(INDEX($AA$4:$AA$7,MATCH(AE93,$Z$4:$Z$7))+INDEX($AA$4:$AA$7,MATCH(AF93,$Z$4:$Z$7)))))</f>
        <v>16.16333333333333</v>
      </c>
      <c r="BE93" s="173">
        <f t="shared" ref="BE93:BE100" ca="1" si="111">(INDEX($AA$4:$AA$7,MATCH(AF93,$Z$4:$Z$7))*(INDEX($X$27:$X$46,MATCH($AD93,$W$27:$W$46,1))/(INDEX($AA$4:$AA$7,MATCH(AE93,$Z$4:$Z$7))+INDEX($AA$4:$AA$7,MATCH(AF93,$Z$4:$Z$7)))))</f>
        <v>32.326666666666661</v>
      </c>
      <c r="BF93" s="180"/>
      <c r="BG93" s="180"/>
      <c r="BH93" s="180"/>
      <c r="BI93" s="166">
        <f t="shared" ref="BI93:BI148" ca="1" si="112">SUM(BJ93:BN93)</f>
        <v>36.554841025641025</v>
      </c>
      <c r="BJ93" s="167">
        <f t="shared" ref="BJ93:BJ100" ca="1" si="113">IF((INDEX($AA$4:$AA$7,MATCH(INDOOR_1,$Z$4:$Z$7))*(INDEX($X$118:$X$137,MATCH($AD93,$W$118:$W$137,1))/(INDEX($AA$4:$AA$7,MATCH(INDOOR_1,$Z$4:$Z$7))+INDEX($AA$4:$AA$7,MATCH(INDOOR_2,$Z$4:$Z$7)))))
&gt;BP93,BP93,
(INDEX($AA$4:$AA$7,MATCH(INDOOR_1,$Z$4:$Z$7))*(INDEX($X$118:$X$137,MATCH($AD93,$W$118:$W$137,1))/(INDEX($AA$4:$AA$7,MATCH(INDOOR_1,$Z$4:$Z$7))+INDEX($AA$4:$AA$7,MATCH(INDOOR_2,$Z$4:$Z$7))))))</f>
        <v>11.956020512820512</v>
      </c>
      <c r="BK93" s="167">
        <f t="shared" ref="BK93:BK100" ca="1" si="114">IF((INDEX($AA$4:$AA$7,MATCH(INDOOR_2,$Z$4:$Z$7))*(INDEX($X$118:$X$137,MATCH($AD93,$W$118:$W$137,1))/(INDEX($AA$4:$AA$7,MATCH(INDOOR_1,$Z$4:$Z$7))+INDEX($AA$4:$AA$7,MATCH(INDOOR_2,$Z$4:$Z$7)))))
&gt;BQ93,BQ93,
(INDEX($AA$4:$AA$7,MATCH(INDOOR_2,$Z$4:$Z$7))*(INDEX($X$118:$X$137,MATCH($AD93,$W$118:$W$137,1))/(INDEX($AA$4:$AA$7,MATCH(INDOOR_1,$Z$4:$Z$7))+INDEX($AA$4:$AA$7,MATCH(INDOOR_2,$Z$4:$Z$7))))))</f>
        <v>24.598820512820513</v>
      </c>
      <c r="BL93" s="178"/>
      <c r="BM93" s="178"/>
      <c r="BN93" s="178"/>
      <c r="BO93" s="169">
        <f t="shared" ref="BO93:BO124" ca="1" si="115">SUM(BP93:BT93)</f>
        <v>36.554841025641025</v>
      </c>
      <c r="BP93" s="170">
        <f ca="1">INDEX('Cap based on indoor unit SZ'!$V$43:$V$58,MATCH(AE93,'Cap based on indoor unit SZ'!$U$43:$U$58))</f>
        <v>11.956020512820512</v>
      </c>
      <c r="BQ93" s="170">
        <f ca="1">INDEX('Cap based on indoor unit SZ'!$V$43:$V$58,MATCH(AF93,'Cap based on indoor unit SZ'!$U$43:$U$58))</f>
        <v>24.598820512820513</v>
      </c>
      <c r="BR93" s="179"/>
      <c r="BS93" s="179"/>
      <c r="BT93" s="179"/>
      <c r="BU93" s="175">
        <v>10000</v>
      </c>
      <c r="BV93" s="175">
        <v>18000</v>
      </c>
      <c r="BW93" s="179"/>
      <c r="BX93" s="179"/>
      <c r="BY93" s="179"/>
      <c r="BZ93" s="172">
        <f t="shared" ref="BZ93:BZ148" ca="1" si="116">SUM(CA93:CE93)</f>
        <v>54.937094017094012</v>
      </c>
      <c r="CA93" s="173">
        <f t="shared" ref="CA93:CA100" ca="1" si="117">(INDEX($AA$4:$AA$7,MATCH(INDOOR_1,$Z$4:$Z$7))*(INDEX($X$118:$X$137,MATCH($AD93,$W$118:$W$137,1))/(INDEX($AA$4:$AA$7,MATCH(INDOOR_1,$Z$4:$Z$7))+INDEX($AA$4:$AA$7,MATCH(INDOOR_2,$Z$4:$Z$7)))))</f>
        <v>18.312364672364669</v>
      </c>
      <c r="CB93" s="173">
        <f t="shared" ref="CB93:CB100" ca="1" si="118">(INDEX($AA$4:$AA$7,MATCH(INDOOR_2,$Z$4:$Z$7))*(INDEX($X$118:$X$137,MATCH($AD93,$W$118:$W$137,1))/(INDEX($AA$4:$AA$7,MATCH(INDOOR_1,$Z$4:$Z$7))+INDEX($AA$4:$AA$7,MATCH(INDOOR_2,$Z$4:$Z$7)))))</f>
        <v>36.624729344729339</v>
      </c>
      <c r="CC93" s="180"/>
      <c r="CD93" s="180"/>
      <c r="CE93" s="180"/>
      <c r="CF93" s="166">
        <f t="shared" ref="CF93:CF124" ca="1" si="119">SUM(CG93:CK93)</f>
        <v>23.907962957583589</v>
      </c>
      <c r="CG93" s="167">
        <f t="shared" ref="CG93:CJ124" ca="1" si="120">AL93*(INDEX($X$67:$X$86,MATCH($AD93,$W$67:$W$86,1)))</f>
        <v>8.2601319931527648</v>
      </c>
      <c r="CH93" s="167">
        <f t="shared" ca="1" si="120"/>
        <v>15.647830964430824</v>
      </c>
      <c r="CI93" s="178"/>
      <c r="CJ93" s="178"/>
      <c r="CK93" s="178"/>
    </row>
    <row r="94" spans="2:89">
      <c r="B94" s="283">
        <v>24</v>
      </c>
      <c r="C94" s="284">
        <v>89.6</v>
      </c>
      <c r="D94" s="284">
        <v>73.400000000000006</v>
      </c>
      <c r="E94" s="8" t="s">
        <v>17</v>
      </c>
      <c r="F94" s="9">
        <v>2.2199999999999998</v>
      </c>
      <c r="G94" s="9">
        <v>2.27</v>
      </c>
      <c r="H94" s="9">
        <v>2.31</v>
      </c>
      <c r="I94" s="9">
        <v>2.38</v>
      </c>
      <c r="J94" s="9">
        <v>2.9350000000000001</v>
      </c>
      <c r="K94" s="9">
        <v>2.4850000000000003</v>
      </c>
      <c r="L94" s="9">
        <v>2.5300000000000002</v>
      </c>
      <c r="M94" s="9">
        <v>2.8049999999999997</v>
      </c>
      <c r="N94" s="9">
        <v>3.105</v>
      </c>
      <c r="O94" s="9">
        <v>2.5549999999999997</v>
      </c>
      <c r="P94" s="9">
        <v>2.65</v>
      </c>
      <c r="Q94" s="9">
        <v>2.7549999999999999</v>
      </c>
      <c r="R94" s="6"/>
      <c r="AC94" s="164" t="s">
        <v>187</v>
      </c>
      <c r="AD94" s="164">
        <v>48</v>
      </c>
      <c r="AE94" s="165">
        <v>9</v>
      </c>
      <c r="AF94" s="165">
        <v>24</v>
      </c>
      <c r="AG94" s="165"/>
      <c r="AH94" s="164"/>
      <c r="AI94" s="164"/>
      <c r="AJ94" s="500"/>
      <c r="AK94" s="166">
        <f t="shared" ca="1" si="104"/>
        <v>34.915333333333329</v>
      </c>
      <c r="AL94" s="167">
        <f t="shared" ca="1" si="105"/>
        <v>10.463111111111111</v>
      </c>
      <c r="AM94" s="167">
        <f t="shared" ca="1" si="106"/>
        <v>24.452222222222218</v>
      </c>
      <c r="AN94" s="178"/>
      <c r="AO94" s="178"/>
      <c r="AP94" s="178"/>
      <c r="AQ94" s="169">
        <f t="shared" ca="1" si="107"/>
        <v>34.915333333333329</v>
      </c>
      <c r="AR94" s="170">
        <f ca="1">INDEX('Cap based on indoor unit SZ'!$J$6:$J$21,MATCH(AE94,'Cap based on indoor unit SZ'!$I$6:$I$21))</f>
        <v>10.463111111111111</v>
      </c>
      <c r="AS94" s="170">
        <f ca="1">INDEX('Cap based on indoor unit SZ'!$J$6:$J$21,MATCH(AF94,'Cap based on indoor unit SZ'!$I$6:$I$21))</f>
        <v>24.452222222222218</v>
      </c>
      <c r="AT94" s="179"/>
      <c r="AU94" s="179"/>
      <c r="AV94" s="179"/>
      <c r="AW94" s="169">
        <f t="shared" si="108"/>
        <v>33.5</v>
      </c>
      <c r="AX94" s="170">
        <v>9.5</v>
      </c>
      <c r="AY94" s="170">
        <v>24</v>
      </c>
      <c r="AZ94" s="179"/>
      <c r="BA94" s="179"/>
      <c r="BB94" s="179"/>
      <c r="BC94" s="172">
        <f t="shared" ca="1" si="109"/>
        <v>48.489999999999995</v>
      </c>
      <c r="BD94" s="173">
        <f t="shared" ca="1" si="110"/>
        <v>13.224545454545453</v>
      </c>
      <c r="BE94" s="173">
        <f t="shared" ca="1" si="111"/>
        <v>35.265454545454539</v>
      </c>
      <c r="BF94" s="180"/>
      <c r="BG94" s="180"/>
      <c r="BH94" s="180"/>
      <c r="BI94" s="166">
        <f t="shared" ca="1" si="112"/>
        <v>42.246020512820515</v>
      </c>
      <c r="BJ94" s="167">
        <f t="shared" ca="1" si="113"/>
        <v>11.956020512820512</v>
      </c>
      <c r="BK94" s="167">
        <f t="shared" ca="1" si="114"/>
        <v>30.290000000000003</v>
      </c>
      <c r="BL94" s="178"/>
      <c r="BM94" s="178"/>
      <c r="BN94" s="178"/>
      <c r="BO94" s="169">
        <f t="shared" ca="1" si="115"/>
        <v>42.246020512820515</v>
      </c>
      <c r="BP94" s="170">
        <f ca="1">INDEX('Cap based on indoor unit SZ'!$V$43:$V$58,MATCH(AE94,'Cap based on indoor unit SZ'!$U$43:$U$58))</f>
        <v>11.956020512820512</v>
      </c>
      <c r="BQ94" s="170">
        <f ca="1">INDEX('Cap based on indoor unit SZ'!$V$43:$V$58,MATCH(AF94,'Cap based on indoor unit SZ'!$U$43:$U$58))</f>
        <v>30.290000000000003</v>
      </c>
      <c r="BR94" s="179"/>
      <c r="BS94" s="179"/>
      <c r="BT94" s="179"/>
      <c r="BU94" s="175">
        <v>10000</v>
      </c>
      <c r="BV94" s="175">
        <v>25000</v>
      </c>
      <c r="BW94" s="179"/>
      <c r="BX94" s="179"/>
      <c r="BY94" s="179"/>
      <c r="BZ94" s="172">
        <f t="shared" ca="1" si="116"/>
        <v>54.937094017094012</v>
      </c>
      <c r="CA94" s="173">
        <f t="shared" ca="1" si="117"/>
        <v>14.982843822843822</v>
      </c>
      <c r="CB94" s="173">
        <f t="shared" ca="1" si="118"/>
        <v>39.954250194250193</v>
      </c>
      <c r="CC94" s="180"/>
      <c r="CD94" s="180"/>
      <c r="CE94" s="180"/>
      <c r="CF94" s="166">
        <f t="shared" ca="1" si="119"/>
        <v>27.564006427494885</v>
      </c>
      <c r="CG94" s="167">
        <f t="shared" ca="1" si="120"/>
        <v>8.2601319931527648</v>
      </c>
      <c r="CH94" s="167">
        <f t="shared" ca="1" si="120"/>
        <v>19.30387443434212</v>
      </c>
      <c r="CI94" s="178"/>
      <c r="CJ94" s="178"/>
      <c r="CK94" s="178"/>
    </row>
    <row r="95" spans="2:89">
      <c r="B95" s="283">
        <v>30</v>
      </c>
      <c r="C95" s="284">
        <v>69.8</v>
      </c>
      <c r="D95" s="284">
        <v>59</v>
      </c>
      <c r="E95" s="8" t="s">
        <v>17</v>
      </c>
      <c r="F95" s="9">
        <v>3.17</v>
      </c>
      <c r="G95" s="9">
        <v>3.24</v>
      </c>
      <c r="H95" s="9">
        <v>3.2949999999999999</v>
      </c>
      <c r="I95" s="9">
        <v>3.3</v>
      </c>
      <c r="J95" s="9">
        <v>3.3650000000000002</v>
      </c>
      <c r="K95" s="9">
        <v>3.42</v>
      </c>
      <c r="L95" s="9">
        <v>3.46</v>
      </c>
      <c r="M95" s="9">
        <v>3.6550000000000002</v>
      </c>
      <c r="N95" s="9">
        <v>4.0150000000000006</v>
      </c>
      <c r="O95" s="9">
        <v>3.1399999999999997</v>
      </c>
      <c r="P95" s="9">
        <v>3.2250000000000001</v>
      </c>
      <c r="Q95" s="9">
        <v>2.76</v>
      </c>
      <c r="R95" s="6"/>
      <c r="AC95" s="164" t="s">
        <v>186</v>
      </c>
      <c r="AD95" s="164">
        <v>48</v>
      </c>
      <c r="AE95" s="165">
        <v>12</v>
      </c>
      <c r="AF95" s="165">
        <v>12</v>
      </c>
      <c r="AG95" s="165"/>
      <c r="AH95" s="164"/>
      <c r="AI95" s="164"/>
      <c r="AJ95" s="500"/>
      <c r="AK95" s="166">
        <f t="shared" ca="1" si="104"/>
        <v>26.157777777777781</v>
      </c>
      <c r="AL95" s="167">
        <f t="shared" ca="1" si="105"/>
        <v>13.078888888888891</v>
      </c>
      <c r="AM95" s="167">
        <f t="shared" ca="1" si="106"/>
        <v>13.078888888888891</v>
      </c>
      <c r="AN95" s="178"/>
      <c r="AO95" s="178"/>
      <c r="AP95" s="178"/>
      <c r="AQ95" s="169">
        <f t="shared" ca="1" si="107"/>
        <v>26.157777777777781</v>
      </c>
      <c r="AR95" s="170">
        <f ca="1">INDEX('Cap based on indoor unit SZ'!$J$6:$J$21,MATCH(AE95,'Cap based on indoor unit SZ'!$I$6:$I$21))</f>
        <v>13.078888888888891</v>
      </c>
      <c r="AS95" s="170">
        <f ca="1">INDEX('Cap based on indoor unit SZ'!$J$6:$J$21,MATCH(AF95,'Cap based on indoor unit SZ'!$I$6:$I$21))</f>
        <v>13.078888888888891</v>
      </c>
      <c r="AT95" s="179"/>
      <c r="AU95" s="179"/>
      <c r="AV95" s="179"/>
      <c r="AW95" s="169">
        <f t="shared" si="108"/>
        <v>25</v>
      </c>
      <c r="AX95" s="170">
        <v>12.5</v>
      </c>
      <c r="AY95" s="170">
        <v>12.5</v>
      </c>
      <c r="AZ95" s="179"/>
      <c r="BA95" s="179"/>
      <c r="BB95" s="179"/>
      <c r="BC95" s="172">
        <f t="shared" ca="1" si="109"/>
        <v>48.489999999999995</v>
      </c>
      <c r="BD95" s="173">
        <f t="shared" ca="1" si="110"/>
        <v>24.244999999999997</v>
      </c>
      <c r="BE95" s="173">
        <f t="shared" ca="1" si="111"/>
        <v>24.244999999999997</v>
      </c>
      <c r="BF95" s="180"/>
      <c r="BG95" s="180"/>
      <c r="BH95" s="180"/>
      <c r="BI95" s="166">
        <f t="shared" ca="1" si="112"/>
        <v>29.890051282051282</v>
      </c>
      <c r="BJ95" s="167">
        <f t="shared" ca="1" si="113"/>
        <v>14.945025641025641</v>
      </c>
      <c r="BK95" s="167">
        <f t="shared" ca="1" si="114"/>
        <v>14.945025641025641</v>
      </c>
      <c r="BL95" s="178"/>
      <c r="BM95" s="178"/>
      <c r="BN95" s="178"/>
      <c r="BO95" s="169">
        <f t="shared" ca="1" si="115"/>
        <v>29.890051282051282</v>
      </c>
      <c r="BP95" s="170">
        <f ca="1">INDEX('Cap based on indoor unit SZ'!$V$43:$V$58,MATCH(AE95,'Cap based on indoor unit SZ'!$U$43:$U$58))</f>
        <v>14.945025641025641</v>
      </c>
      <c r="BQ95" s="170">
        <f ca="1">INDEX('Cap based on indoor unit SZ'!$V$43:$V$58,MATCH(AF95,'Cap based on indoor unit SZ'!$U$43:$U$58))</f>
        <v>14.945025641025641</v>
      </c>
      <c r="BR95" s="179"/>
      <c r="BS95" s="179"/>
      <c r="BT95" s="179"/>
      <c r="BU95" s="175">
        <v>13000</v>
      </c>
      <c r="BV95" s="175">
        <v>13000</v>
      </c>
      <c r="BW95" s="179"/>
      <c r="BX95" s="179"/>
      <c r="BY95" s="179"/>
      <c r="BZ95" s="172">
        <f t="shared" ca="1" si="116"/>
        <v>54.937094017094012</v>
      </c>
      <c r="CA95" s="173">
        <f t="shared" ca="1" si="117"/>
        <v>27.468547008547006</v>
      </c>
      <c r="CB95" s="173">
        <f t="shared" ca="1" si="118"/>
        <v>27.468547008547006</v>
      </c>
      <c r="CC95" s="180"/>
      <c r="CD95" s="180"/>
      <c r="CE95" s="180"/>
      <c r="CF95" s="166">
        <f t="shared" ca="1" si="119"/>
        <v>20.650329982881917</v>
      </c>
      <c r="CG95" s="167">
        <f t="shared" ca="1" si="120"/>
        <v>10.325164991440959</v>
      </c>
      <c r="CH95" s="167">
        <f t="shared" ca="1" si="120"/>
        <v>10.325164991440959</v>
      </c>
      <c r="CI95" s="178"/>
      <c r="CJ95" s="178"/>
      <c r="CK95" s="178"/>
    </row>
    <row r="96" spans="2:89">
      <c r="B96" s="283">
        <v>30</v>
      </c>
      <c r="C96" s="284">
        <v>75.2</v>
      </c>
      <c r="D96" s="284">
        <v>62.6</v>
      </c>
      <c r="E96" s="8" t="s">
        <v>17</v>
      </c>
      <c r="F96" s="9">
        <v>3.2199999999999998</v>
      </c>
      <c r="G96" s="9">
        <v>3.29</v>
      </c>
      <c r="H96" s="9">
        <v>3.3449999999999998</v>
      </c>
      <c r="I96" s="9">
        <v>3.3499999999999996</v>
      </c>
      <c r="J96" s="9">
        <v>3.415</v>
      </c>
      <c r="K96" s="9">
        <v>3.4699999999999998</v>
      </c>
      <c r="L96" s="9">
        <v>3.51</v>
      </c>
      <c r="M96" s="9">
        <v>3.7050000000000001</v>
      </c>
      <c r="N96" s="9">
        <v>4.0649999999999995</v>
      </c>
      <c r="O96" s="9">
        <v>3.1900000000000004</v>
      </c>
      <c r="P96" s="9">
        <v>3.2749999999999999</v>
      </c>
      <c r="Q96" s="9">
        <v>2.81</v>
      </c>
      <c r="R96" s="6"/>
      <c r="AC96" s="164" t="s">
        <v>185</v>
      </c>
      <c r="AD96" s="164">
        <v>48</v>
      </c>
      <c r="AE96" s="165">
        <v>12</v>
      </c>
      <c r="AF96" s="165">
        <v>18</v>
      </c>
      <c r="AG96" s="165"/>
      <c r="AH96" s="164"/>
      <c r="AI96" s="164"/>
      <c r="AJ96" s="500"/>
      <c r="AK96" s="166">
        <f t="shared" ca="1" si="104"/>
        <v>32.900000000000006</v>
      </c>
      <c r="AL96" s="167">
        <f t="shared" ca="1" si="105"/>
        <v>13.078888888888891</v>
      </c>
      <c r="AM96" s="167">
        <f t="shared" ca="1" si="106"/>
        <v>19.821111111111112</v>
      </c>
      <c r="AN96" s="178"/>
      <c r="AO96" s="178"/>
      <c r="AP96" s="178"/>
      <c r="AQ96" s="169">
        <f t="shared" ca="1" si="107"/>
        <v>32.900000000000006</v>
      </c>
      <c r="AR96" s="170">
        <f ca="1">INDEX('Cap based on indoor unit SZ'!$J$6:$J$21,MATCH(AE96,'Cap based on indoor unit SZ'!$I$6:$I$21))</f>
        <v>13.078888888888891</v>
      </c>
      <c r="AS96" s="170">
        <f ca="1">INDEX('Cap based on indoor unit SZ'!$J$6:$J$21,MATCH(AF96,'Cap based on indoor unit SZ'!$I$6:$I$21))</f>
        <v>19.821111111111112</v>
      </c>
      <c r="AT96" s="179"/>
      <c r="AU96" s="179"/>
      <c r="AV96" s="179"/>
      <c r="AW96" s="169">
        <f t="shared" si="108"/>
        <v>30</v>
      </c>
      <c r="AX96" s="170">
        <v>12</v>
      </c>
      <c r="AY96" s="170">
        <v>18</v>
      </c>
      <c r="AZ96" s="179"/>
      <c r="BA96" s="179"/>
      <c r="BB96" s="179"/>
      <c r="BC96" s="172">
        <f t="shared" ca="1" si="109"/>
        <v>48.49</v>
      </c>
      <c r="BD96" s="173">
        <f t="shared" ca="1" si="110"/>
        <v>19.396000000000001</v>
      </c>
      <c r="BE96" s="173">
        <f t="shared" ca="1" si="111"/>
        <v>29.094000000000001</v>
      </c>
      <c r="BF96" s="180"/>
      <c r="BG96" s="180"/>
      <c r="BH96" s="180"/>
      <c r="BI96" s="166">
        <f t="shared" ca="1" si="112"/>
        <v>39.543846153846154</v>
      </c>
      <c r="BJ96" s="167">
        <f t="shared" ca="1" si="113"/>
        <v>14.945025641025641</v>
      </c>
      <c r="BK96" s="167">
        <f t="shared" ca="1" si="114"/>
        <v>24.598820512820513</v>
      </c>
      <c r="BL96" s="178"/>
      <c r="BM96" s="178"/>
      <c r="BN96" s="178"/>
      <c r="BO96" s="169">
        <f t="shared" ca="1" si="115"/>
        <v>39.543846153846154</v>
      </c>
      <c r="BP96" s="170">
        <f ca="1">INDEX('Cap based on indoor unit SZ'!$V$43:$V$58,MATCH(AE96,'Cap based on indoor unit SZ'!$U$43:$U$58))</f>
        <v>14.945025641025641</v>
      </c>
      <c r="BQ96" s="170">
        <f ca="1">INDEX('Cap based on indoor unit SZ'!$V$43:$V$58,MATCH(AF96,'Cap based on indoor unit SZ'!$U$43:$U$58))</f>
        <v>24.598820512820513</v>
      </c>
      <c r="BR96" s="179"/>
      <c r="BS96" s="179"/>
      <c r="BT96" s="179"/>
      <c r="BU96" s="175">
        <v>13000</v>
      </c>
      <c r="BV96" s="175">
        <v>19000</v>
      </c>
      <c r="BW96" s="179"/>
      <c r="BX96" s="179"/>
      <c r="BY96" s="179"/>
      <c r="BZ96" s="172">
        <f t="shared" ca="1" si="116"/>
        <v>54.937094017094012</v>
      </c>
      <c r="CA96" s="173">
        <f t="shared" ca="1" si="117"/>
        <v>21.974837606837603</v>
      </c>
      <c r="CB96" s="173">
        <f t="shared" ca="1" si="118"/>
        <v>32.962256410256408</v>
      </c>
      <c r="CC96" s="180"/>
      <c r="CD96" s="180"/>
      <c r="CE96" s="180"/>
      <c r="CF96" s="166">
        <f t="shared" ca="1" si="119"/>
        <v>25.972995955871781</v>
      </c>
      <c r="CG96" s="167">
        <f t="shared" ca="1" si="120"/>
        <v>10.325164991440959</v>
      </c>
      <c r="CH96" s="167">
        <f t="shared" ca="1" si="120"/>
        <v>15.647830964430824</v>
      </c>
      <c r="CI96" s="178"/>
      <c r="CJ96" s="178"/>
      <c r="CK96" s="178"/>
    </row>
    <row r="97" spans="2:89">
      <c r="B97" s="283">
        <v>30</v>
      </c>
      <c r="C97" s="284">
        <v>80.599999999999994</v>
      </c>
      <c r="D97" s="284">
        <v>66.2</v>
      </c>
      <c r="E97" s="8" t="s">
        <v>17</v>
      </c>
      <c r="F97" s="9">
        <v>3.2349999999999999</v>
      </c>
      <c r="G97" s="9">
        <v>3.3049999999999997</v>
      </c>
      <c r="H97" s="9">
        <v>3.37</v>
      </c>
      <c r="I97" s="9">
        <v>3.4249999999999998</v>
      </c>
      <c r="J97" s="9">
        <v>3.4550000000000001</v>
      </c>
      <c r="K97" s="9">
        <v>3.5300000000000002</v>
      </c>
      <c r="L97" s="9">
        <v>3.5700000000000003</v>
      </c>
      <c r="M97" s="9">
        <v>3.7149999999999999</v>
      </c>
      <c r="N97" s="9">
        <v>4.0949999999999998</v>
      </c>
      <c r="O97" s="9">
        <v>3.2349999999999999</v>
      </c>
      <c r="P97" s="9">
        <v>3.3</v>
      </c>
      <c r="Q97" s="9">
        <v>2.7749999999999999</v>
      </c>
      <c r="R97" s="6"/>
      <c r="AC97" s="164" t="s">
        <v>184</v>
      </c>
      <c r="AD97" s="164">
        <v>48</v>
      </c>
      <c r="AE97" s="165">
        <v>12</v>
      </c>
      <c r="AF97" s="165">
        <v>24</v>
      </c>
      <c r="AG97" s="165"/>
      <c r="AH97" s="164"/>
      <c r="AI97" s="164"/>
      <c r="AJ97" s="500"/>
      <c r="AK97" s="166">
        <f t="shared" ca="1" si="104"/>
        <v>37.531111111111109</v>
      </c>
      <c r="AL97" s="167">
        <f t="shared" ca="1" si="105"/>
        <v>13.078888888888891</v>
      </c>
      <c r="AM97" s="167">
        <f t="shared" ca="1" si="106"/>
        <v>24.452222222222218</v>
      </c>
      <c r="AN97" s="178"/>
      <c r="AO97" s="178"/>
      <c r="AP97" s="178"/>
      <c r="AQ97" s="169">
        <f t="shared" ca="1" si="107"/>
        <v>37.531111111111109</v>
      </c>
      <c r="AR97" s="170">
        <f ca="1">INDEX('Cap based on indoor unit SZ'!$J$6:$J$21,MATCH(AE97,'Cap based on indoor unit SZ'!$I$6:$I$21))</f>
        <v>13.078888888888891</v>
      </c>
      <c r="AS97" s="170">
        <f ca="1">INDEX('Cap based on indoor unit SZ'!$J$6:$J$21,MATCH(AF97,'Cap based on indoor unit SZ'!$I$6:$I$21))</f>
        <v>24.452222222222218</v>
      </c>
      <c r="AT97" s="179"/>
      <c r="AU97" s="179"/>
      <c r="AV97" s="179"/>
      <c r="AW97" s="169">
        <f t="shared" si="108"/>
        <v>36</v>
      </c>
      <c r="AX97" s="170">
        <v>12</v>
      </c>
      <c r="AY97" s="170">
        <v>24</v>
      </c>
      <c r="AZ97" s="179"/>
      <c r="BA97" s="179"/>
      <c r="BB97" s="179"/>
      <c r="BC97" s="172">
        <f t="shared" ca="1" si="109"/>
        <v>48.489999999999995</v>
      </c>
      <c r="BD97" s="173">
        <f t="shared" ca="1" si="110"/>
        <v>16.16333333333333</v>
      </c>
      <c r="BE97" s="173">
        <f t="shared" ca="1" si="111"/>
        <v>32.326666666666661</v>
      </c>
      <c r="BF97" s="180"/>
      <c r="BG97" s="180"/>
      <c r="BH97" s="180"/>
      <c r="BI97" s="166">
        <f t="shared" ca="1" si="112"/>
        <v>45.235025641025643</v>
      </c>
      <c r="BJ97" s="167">
        <f t="shared" ca="1" si="113"/>
        <v>14.945025641025641</v>
      </c>
      <c r="BK97" s="167">
        <f t="shared" ca="1" si="114"/>
        <v>30.290000000000003</v>
      </c>
      <c r="BL97" s="178"/>
      <c r="BM97" s="178"/>
      <c r="BN97" s="178"/>
      <c r="BO97" s="169">
        <f t="shared" ca="1" si="115"/>
        <v>45.235025641025643</v>
      </c>
      <c r="BP97" s="170">
        <f ca="1">INDEX('Cap based on indoor unit SZ'!$V$43:$V$58,MATCH(AE97,'Cap based on indoor unit SZ'!$U$43:$U$58))</f>
        <v>14.945025641025641</v>
      </c>
      <c r="BQ97" s="170">
        <f ca="1">INDEX('Cap based on indoor unit SZ'!$V$43:$V$58,MATCH(AF97,'Cap based on indoor unit SZ'!$U$43:$U$58))</f>
        <v>30.290000000000003</v>
      </c>
      <c r="BR97" s="179"/>
      <c r="BS97" s="179"/>
      <c r="BT97" s="179"/>
      <c r="BU97" s="175">
        <v>12500</v>
      </c>
      <c r="BV97" s="175">
        <v>25000</v>
      </c>
      <c r="BW97" s="179"/>
      <c r="BX97" s="179"/>
      <c r="BY97" s="179"/>
      <c r="BZ97" s="172">
        <f t="shared" ca="1" si="116"/>
        <v>54.937094017094012</v>
      </c>
      <c r="CA97" s="173">
        <f t="shared" ca="1" si="117"/>
        <v>18.312364672364669</v>
      </c>
      <c r="CB97" s="173">
        <f t="shared" ca="1" si="118"/>
        <v>36.624729344729339</v>
      </c>
      <c r="CC97" s="180"/>
      <c r="CD97" s="180"/>
      <c r="CE97" s="180"/>
      <c r="CF97" s="166">
        <f t="shared" ca="1" si="119"/>
        <v>29.629039425783077</v>
      </c>
      <c r="CG97" s="167">
        <f t="shared" ca="1" si="120"/>
        <v>10.325164991440959</v>
      </c>
      <c r="CH97" s="167">
        <f t="shared" ca="1" si="120"/>
        <v>19.30387443434212</v>
      </c>
      <c r="CI97" s="178"/>
      <c r="CJ97" s="178"/>
      <c r="CK97" s="178"/>
    </row>
    <row r="98" spans="2:89">
      <c r="B98" s="283">
        <v>30</v>
      </c>
      <c r="C98" s="284">
        <v>89.6</v>
      </c>
      <c r="D98" s="284">
        <v>73.400000000000006</v>
      </c>
      <c r="E98" s="8" t="s">
        <v>17</v>
      </c>
      <c r="F98" s="9">
        <v>3.29</v>
      </c>
      <c r="G98" s="9">
        <v>3.3650000000000002</v>
      </c>
      <c r="H98" s="9">
        <v>3.4299999999999997</v>
      </c>
      <c r="I98" s="9">
        <v>3.4850000000000003</v>
      </c>
      <c r="J98" s="9">
        <v>3.5150000000000001</v>
      </c>
      <c r="K98" s="9">
        <v>3.59</v>
      </c>
      <c r="L98" s="9">
        <v>3.63</v>
      </c>
      <c r="M98" s="9">
        <v>3.7749999999999999</v>
      </c>
      <c r="N98" s="9">
        <v>4.1550000000000002</v>
      </c>
      <c r="O98" s="9">
        <v>3.2949999999999999</v>
      </c>
      <c r="P98" s="9">
        <v>3.3600000000000003</v>
      </c>
      <c r="Q98" s="9">
        <v>2.835</v>
      </c>
      <c r="R98" s="6"/>
      <c r="AC98" s="164" t="s">
        <v>183</v>
      </c>
      <c r="AD98" s="164">
        <v>48</v>
      </c>
      <c r="AE98" s="165">
        <v>18</v>
      </c>
      <c r="AF98" s="165">
        <v>18</v>
      </c>
      <c r="AG98" s="165"/>
      <c r="AH98" s="164"/>
      <c r="AI98" s="164"/>
      <c r="AJ98" s="500"/>
      <c r="AK98" s="166">
        <f t="shared" ca="1" si="104"/>
        <v>39.642222222222223</v>
      </c>
      <c r="AL98" s="167">
        <f t="shared" ca="1" si="105"/>
        <v>19.821111111111112</v>
      </c>
      <c r="AM98" s="167">
        <f t="shared" ca="1" si="106"/>
        <v>19.821111111111112</v>
      </c>
      <c r="AN98" s="178"/>
      <c r="AO98" s="178"/>
      <c r="AP98" s="178"/>
      <c r="AQ98" s="169">
        <f t="shared" ca="1" si="107"/>
        <v>39.642222222222223</v>
      </c>
      <c r="AR98" s="170">
        <f ca="1">INDEX('Cap based on indoor unit SZ'!$J$6:$J$21,MATCH(AE98,'Cap based on indoor unit SZ'!$I$6:$I$21))</f>
        <v>19.821111111111112</v>
      </c>
      <c r="AS98" s="170">
        <f ca="1">INDEX('Cap based on indoor unit SZ'!$J$6:$J$21,MATCH(AF98,'Cap based on indoor unit SZ'!$I$6:$I$21))</f>
        <v>19.821111111111112</v>
      </c>
      <c r="AT98" s="179"/>
      <c r="AU98" s="179"/>
      <c r="AV98" s="179"/>
      <c r="AW98" s="169">
        <f t="shared" si="108"/>
        <v>37</v>
      </c>
      <c r="AX98" s="170">
        <v>18.5</v>
      </c>
      <c r="AY98" s="170">
        <v>18.5</v>
      </c>
      <c r="AZ98" s="179"/>
      <c r="BA98" s="179"/>
      <c r="BB98" s="179"/>
      <c r="BC98" s="172">
        <f t="shared" ca="1" si="109"/>
        <v>48.489999999999995</v>
      </c>
      <c r="BD98" s="173">
        <f t="shared" ca="1" si="110"/>
        <v>24.244999999999997</v>
      </c>
      <c r="BE98" s="173">
        <f t="shared" ca="1" si="111"/>
        <v>24.244999999999997</v>
      </c>
      <c r="BF98" s="180"/>
      <c r="BG98" s="180"/>
      <c r="BH98" s="180"/>
      <c r="BI98" s="166">
        <f t="shared" ca="1" si="112"/>
        <v>49.197641025641026</v>
      </c>
      <c r="BJ98" s="167">
        <f t="shared" ca="1" si="113"/>
        <v>24.598820512820513</v>
      </c>
      <c r="BK98" s="167">
        <f t="shared" ca="1" si="114"/>
        <v>24.598820512820513</v>
      </c>
      <c r="BL98" s="178"/>
      <c r="BM98" s="178"/>
      <c r="BN98" s="178"/>
      <c r="BO98" s="169">
        <f t="shared" ca="1" si="115"/>
        <v>49.197641025641026</v>
      </c>
      <c r="BP98" s="170">
        <f ca="1">INDEX('Cap based on indoor unit SZ'!$V$43:$V$58,MATCH(AE98,'Cap based on indoor unit SZ'!$U$43:$U$58))</f>
        <v>24.598820512820513</v>
      </c>
      <c r="BQ98" s="170">
        <f ca="1">INDEX('Cap based on indoor unit SZ'!$V$43:$V$58,MATCH(AF98,'Cap based on indoor unit SZ'!$U$43:$U$58))</f>
        <v>24.598820512820513</v>
      </c>
      <c r="BR98" s="179"/>
      <c r="BS98" s="179"/>
      <c r="BT98" s="179"/>
      <c r="BU98" s="175">
        <v>19000</v>
      </c>
      <c r="BV98" s="175">
        <v>19000</v>
      </c>
      <c r="BW98" s="179"/>
      <c r="BX98" s="179"/>
      <c r="BY98" s="179"/>
      <c r="BZ98" s="172">
        <f t="shared" ca="1" si="116"/>
        <v>54.937094017094012</v>
      </c>
      <c r="CA98" s="173">
        <f t="shared" ca="1" si="117"/>
        <v>27.468547008547006</v>
      </c>
      <c r="CB98" s="173">
        <f t="shared" ca="1" si="118"/>
        <v>27.468547008547006</v>
      </c>
      <c r="CC98" s="180"/>
      <c r="CD98" s="180"/>
      <c r="CE98" s="180"/>
      <c r="CF98" s="166">
        <f t="shared" ca="1" si="119"/>
        <v>31.295661928861648</v>
      </c>
      <c r="CG98" s="167">
        <f t="shared" ca="1" si="120"/>
        <v>15.647830964430824</v>
      </c>
      <c r="CH98" s="167">
        <f t="shared" ca="1" si="120"/>
        <v>15.647830964430824</v>
      </c>
      <c r="CI98" s="178"/>
      <c r="CJ98" s="178"/>
      <c r="CK98" s="178"/>
    </row>
    <row r="99" spans="2:89">
      <c r="B99" s="283">
        <v>36</v>
      </c>
      <c r="C99" s="284">
        <v>69.8</v>
      </c>
      <c r="D99" s="284">
        <v>59</v>
      </c>
      <c r="E99" s="8" t="s">
        <v>17</v>
      </c>
      <c r="F99" s="9">
        <v>2.73</v>
      </c>
      <c r="G99" s="9">
        <v>2.79</v>
      </c>
      <c r="H99" s="9">
        <v>2.8600000000000003</v>
      </c>
      <c r="I99" s="9">
        <v>2.9000000000000004</v>
      </c>
      <c r="J99" s="9">
        <v>2.9400000000000004</v>
      </c>
      <c r="K99" s="9">
        <v>3.01</v>
      </c>
      <c r="L99" s="9">
        <v>3.0599999999999996</v>
      </c>
      <c r="M99" s="9">
        <v>3.4249999999999998</v>
      </c>
      <c r="N99" s="9">
        <v>3.83</v>
      </c>
      <c r="O99" s="9">
        <v>3.7199999999999998</v>
      </c>
      <c r="P99" s="9">
        <v>3.8</v>
      </c>
      <c r="Q99" s="9">
        <v>3.4450000000000003</v>
      </c>
      <c r="R99" s="6"/>
      <c r="AC99" s="164" t="s">
        <v>182</v>
      </c>
      <c r="AD99" s="164">
        <v>48</v>
      </c>
      <c r="AE99" s="165">
        <v>18</v>
      </c>
      <c r="AF99" s="165">
        <v>24</v>
      </c>
      <c r="AG99" s="165"/>
      <c r="AH99" s="164"/>
      <c r="AI99" s="164"/>
      <c r="AJ99" s="512"/>
      <c r="AK99" s="166">
        <f t="shared" ca="1" si="104"/>
        <v>44.273333333333326</v>
      </c>
      <c r="AL99" s="167">
        <f t="shared" ca="1" si="105"/>
        <v>19.821111111111112</v>
      </c>
      <c r="AM99" s="167">
        <f t="shared" ca="1" si="106"/>
        <v>24.452222222222218</v>
      </c>
      <c r="AN99" s="178"/>
      <c r="AO99" s="178"/>
      <c r="AP99" s="178"/>
      <c r="AQ99" s="169">
        <f t="shared" ca="1" si="107"/>
        <v>44.273333333333326</v>
      </c>
      <c r="AR99" s="170">
        <f ca="1">INDEX('Cap based on indoor unit SZ'!$J$6:$J$21,MATCH(AE99,'Cap based on indoor unit SZ'!$I$6:$I$21))</f>
        <v>19.821111111111112</v>
      </c>
      <c r="AS99" s="170">
        <f ca="1">INDEX('Cap based on indoor unit SZ'!$J$6:$J$21,MATCH(AF99,'Cap based on indoor unit SZ'!$I$6:$I$21))</f>
        <v>24.452222222222218</v>
      </c>
      <c r="AT99" s="179"/>
      <c r="AU99" s="179"/>
      <c r="AV99" s="179"/>
      <c r="AW99" s="169">
        <f t="shared" si="108"/>
        <v>40</v>
      </c>
      <c r="AX99" s="170">
        <v>17.5</v>
      </c>
      <c r="AY99" s="170">
        <v>22.5</v>
      </c>
      <c r="AZ99" s="179"/>
      <c r="BA99" s="179"/>
      <c r="BB99" s="179"/>
      <c r="BC99" s="172">
        <f t="shared" ca="1" si="109"/>
        <v>48.489999999999995</v>
      </c>
      <c r="BD99" s="173">
        <f t="shared" ca="1" si="110"/>
        <v>20.78142857142857</v>
      </c>
      <c r="BE99" s="173">
        <f t="shared" ca="1" si="111"/>
        <v>27.708571428571425</v>
      </c>
      <c r="BF99" s="180"/>
      <c r="BG99" s="180"/>
      <c r="BH99" s="180"/>
      <c r="BI99" s="166">
        <f t="shared" ca="1" si="112"/>
        <v>53.834468864468867</v>
      </c>
      <c r="BJ99" s="167">
        <f t="shared" ca="1" si="113"/>
        <v>23.544468864468865</v>
      </c>
      <c r="BK99" s="167">
        <f t="shared" ca="1" si="114"/>
        <v>30.290000000000003</v>
      </c>
      <c r="BL99" s="178"/>
      <c r="BM99" s="178"/>
      <c r="BN99" s="178"/>
      <c r="BO99" s="169">
        <f t="shared" ca="1" si="115"/>
        <v>54.888820512820516</v>
      </c>
      <c r="BP99" s="170">
        <f ca="1">INDEX('Cap based on indoor unit SZ'!$V$43:$V$58,MATCH(AE99,'Cap based on indoor unit SZ'!$U$43:$U$58))</f>
        <v>24.598820512820513</v>
      </c>
      <c r="BQ99" s="170">
        <f ca="1">INDEX('Cap based on indoor unit SZ'!$V$43:$V$58,MATCH(AF99,'Cap based on indoor unit SZ'!$U$43:$U$58))</f>
        <v>30.290000000000003</v>
      </c>
      <c r="BR99" s="179"/>
      <c r="BS99" s="179"/>
      <c r="BT99" s="179"/>
      <c r="BU99" s="175">
        <v>18000</v>
      </c>
      <c r="BV99" s="175">
        <v>23000</v>
      </c>
      <c r="BW99" s="179"/>
      <c r="BX99" s="179"/>
      <c r="BY99" s="179"/>
      <c r="BZ99" s="172">
        <f t="shared" ca="1" si="116"/>
        <v>54.937094017094012</v>
      </c>
      <c r="CA99" s="173">
        <f t="shared" ca="1" si="117"/>
        <v>23.544468864468865</v>
      </c>
      <c r="CB99" s="173">
        <f t="shared" ca="1" si="118"/>
        <v>31.392625152625151</v>
      </c>
      <c r="CC99" s="180"/>
      <c r="CD99" s="180"/>
      <c r="CE99" s="180"/>
      <c r="CF99" s="166">
        <f t="shared" ca="1" si="119"/>
        <v>34.951705398772944</v>
      </c>
      <c r="CG99" s="167">
        <f t="shared" ca="1" si="120"/>
        <v>15.647830964430824</v>
      </c>
      <c r="CH99" s="167">
        <f t="shared" ca="1" si="120"/>
        <v>19.30387443434212</v>
      </c>
      <c r="CI99" s="178"/>
      <c r="CJ99" s="178"/>
      <c r="CK99" s="178"/>
    </row>
    <row r="100" spans="2:89">
      <c r="B100" s="283">
        <v>36</v>
      </c>
      <c r="C100" s="284">
        <v>75.2</v>
      </c>
      <c r="D100" s="284">
        <v>62.6</v>
      </c>
      <c r="E100" s="8" t="s">
        <v>17</v>
      </c>
      <c r="F100" s="9">
        <v>2.79</v>
      </c>
      <c r="G100" s="9">
        <v>2.85</v>
      </c>
      <c r="H100" s="9">
        <v>2.92</v>
      </c>
      <c r="I100" s="9">
        <v>2.96</v>
      </c>
      <c r="J100" s="9">
        <v>3</v>
      </c>
      <c r="K100" s="9">
        <v>3.07</v>
      </c>
      <c r="L100" s="9">
        <v>3.12</v>
      </c>
      <c r="M100" s="9">
        <v>3.4849999999999999</v>
      </c>
      <c r="N100" s="9">
        <v>3.8899999999999997</v>
      </c>
      <c r="O100" s="9">
        <v>3.7800000000000002</v>
      </c>
      <c r="P100" s="9">
        <v>3.8600000000000003</v>
      </c>
      <c r="Q100" s="9">
        <v>3.5049999999999999</v>
      </c>
      <c r="R100" s="6"/>
      <c r="AC100" s="164" t="s">
        <v>181</v>
      </c>
      <c r="AD100" s="164">
        <v>48</v>
      </c>
      <c r="AE100" s="165">
        <v>24</v>
      </c>
      <c r="AF100" s="165">
        <v>24</v>
      </c>
      <c r="AG100" s="165"/>
      <c r="AH100" s="164"/>
      <c r="AI100" s="164"/>
      <c r="AJ100" s="512"/>
      <c r="AK100" s="166">
        <f t="shared" ca="1" si="104"/>
        <v>48.489999999999995</v>
      </c>
      <c r="AL100" s="167">
        <f t="shared" ca="1" si="105"/>
        <v>24.244999999999997</v>
      </c>
      <c r="AM100" s="167">
        <f t="shared" ca="1" si="106"/>
        <v>24.244999999999997</v>
      </c>
      <c r="AN100" s="178"/>
      <c r="AO100" s="178"/>
      <c r="AP100" s="178"/>
      <c r="AQ100" s="169">
        <f t="shared" ca="1" si="107"/>
        <v>48.904444444444437</v>
      </c>
      <c r="AR100" s="170">
        <f ca="1">INDEX('Cap based on indoor unit SZ'!$J$6:$J$21,MATCH(AE100,'Cap based on indoor unit SZ'!$I$6:$I$21))</f>
        <v>24.452222222222218</v>
      </c>
      <c r="AS100" s="170">
        <f ca="1">INDEX('Cap based on indoor unit SZ'!$J$6:$J$21,MATCH(AF100,'Cap based on indoor unit SZ'!$I$6:$I$21))</f>
        <v>24.452222222222218</v>
      </c>
      <c r="AT100" s="179"/>
      <c r="AU100" s="179"/>
      <c r="AV100" s="179"/>
      <c r="AW100" s="169">
        <f t="shared" si="108"/>
        <v>42</v>
      </c>
      <c r="AX100" s="170">
        <v>21</v>
      </c>
      <c r="AY100" s="170">
        <v>21</v>
      </c>
      <c r="AZ100" s="179"/>
      <c r="BA100" s="179"/>
      <c r="BB100" s="179"/>
      <c r="BC100" s="172">
        <f t="shared" ca="1" si="109"/>
        <v>48.489999999999995</v>
      </c>
      <c r="BD100" s="173">
        <f t="shared" ca="1" si="110"/>
        <v>24.244999999999997</v>
      </c>
      <c r="BE100" s="173">
        <f t="shared" ca="1" si="111"/>
        <v>24.244999999999997</v>
      </c>
      <c r="BF100" s="180"/>
      <c r="BG100" s="180"/>
      <c r="BH100" s="180"/>
      <c r="BI100" s="166">
        <f t="shared" ca="1" si="112"/>
        <v>54.937094017094012</v>
      </c>
      <c r="BJ100" s="167">
        <f t="shared" ca="1" si="113"/>
        <v>27.468547008547006</v>
      </c>
      <c r="BK100" s="167">
        <f t="shared" ca="1" si="114"/>
        <v>27.468547008547006</v>
      </c>
      <c r="BL100" s="178"/>
      <c r="BM100" s="178"/>
      <c r="BN100" s="178"/>
      <c r="BO100" s="169">
        <f t="shared" ca="1" si="115"/>
        <v>60.580000000000005</v>
      </c>
      <c r="BP100" s="170">
        <f ca="1">INDEX('Cap based on indoor unit SZ'!$V$43:$V$58,MATCH(AE100,'Cap based on indoor unit SZ'!$U$43:$U$58))</f>
        <v>30.290000000000003</v>
      </c>
      <c r="BQ100" s="170">
        <f ca="1">INDEX('Cap based on indoor unit SZ'!$V$43:$V$58,MATCH(AF100,'Cap based on indoor unit SZ'!$U$43:$U$58))</f>
        <v>30.290000000000003</v>
      </c>
      <c r="BR100" s="179"/>
      <c r="BS100" s="179"/>
      <c r="BT100" s="179"/>
      <c r="BU100" s="175">
        <v>22000</v>
      </c>
      <c r="BV100" s="175">
        <v>22000</v>
      </c>
      <c r="BW100" s="179"/>
      <c r="BX100" s="179"/>
      <c r="BY100" s="179"/>
      <c r="BZ100" s="172">
        <f t="shared" ca="1" si="116"/>
        <v>54.937094017094012</v>
      </c>
      <c r="CA100" s="173">
        <f t="shared" ca="1" si="117"/>
        <v>27.468547008547006</v>
      </c>
      <c r="CB100" s="173">
        <f t="shared" ca="1" si="118"/>
        <v>27.468547008547006</v>
      </c>
      <c r="CC100" s="180"/>
      <c r="CD100" s="180"/>
      <c r="CE100" s="180"/>
      <c r="CF100" s="166">
        <f t="shared" ca="1" si="119"/>
        <v>38.280564556237763</v>
      </c>
      <c r="CG100" s="167">
        <f t="shared" ca="1" si="120"/>
        <v>19.140282278118882</v>
      </c>
      <c r="CH100" s="167">
        <f t="shared" ca="1" si="120"/>
        <v>19.140282278118882</v>
      </c>
      <c r="CI100" s="178"/>
      <c r="CJ100" s="178"/>
      <c r="CK100" s="178"/>
    </row>
    <row r="101" spans="2:89">
      <c r="B101" s="283">
        <v>36</v>
      </c>
      <c r="C101" s="284">
        <v>80.599999999999994</v>
      </c>
      <c r="D101" s="284">
        <v>66.2</v>
      </c>
      <c r="E101" s="8" t="s">
        <v>17</v>
      </c>
      <c r="F101" s="9">
        <v>2.83</v>
      </c>
      <c r="G101" s="9">
        <v>2.8899999999999997</v>
      </c>
      <c r="H101" s="9">
        <v>2.92</v>
      </c>
      <c r="I101" s="9">
        <v>2.9400000000000004</v>
      </c>
      <c r="J101" s="9">
        <v>2.98</v>
      </c>
      <c r="K101" s="9">
        <v>3.09</v>
      </c>
      <c r="L101" s="9">
        <v>3.13</v>
      </c>
      <c r="M101" s="9">
        <v>3.5149999999999997</v>
      </c>
      <c r="N101" s="9">
        <v>3.95</v>
      </c>
      <c r="O101" s="9">
        <v>3.84</v>
      </c>
      <c r="P101" s="9">
        <v>3.89</v>
      </c>
      <c r="Q101" s="9">
        <v>3.5049999999999999</v>
      </c>
      <c r="R101" s="6"/>
      <c r="AC101" s="164" t="s">
        <v>180</v>
      </c>
      <c r="AD101" s="164">
        <v>48</v>
      </c>
      <c r="AE101" s="165">
        <v>9</v>
      </c>
      <c r="AF101" s="165">
        <v>9</v>
      </c>
      <c r="AG101" s="165">
        <v>9</v>
      </c>
      <c r="AH101" s="164"/>
      <c r="AI101" s="164"/>
      <c r="AJ101" s="500">
        <v>3</v>
      </c>
      <c r="AK101" s="166">
        <f t="shared" ca="1" si="104"/>
        <v>31.389333333333333</v>
      </c>
      <c r="AL101" s="167">
        <f t="shared" ref="AL101:AL118" ca="1" si="121">IF((INDEX($AA$4:$AA$7,MATCH(INDOOR_1,$Z$4:$Z$7))*(INDEX($X$27:$X$46,MATCH($AD101,$W$27:$W$46,1))/(INDEX($AA$4:$AA$7,MATCH(INDOOR_1,$Z$4:$Z$7))+INDEX($AA$4:$AA$7,MATCH(INDOOR_2,$Z$4:$Z$7))+INDEX($AA$4:$AA$7,MATCH(INDOOR_3,$Z$4:$Z$7)))))
&gt;AR101,AR101,
(INDEX($AA$4:$AA$7,MATCH(INDOOR_1,$Z$4:$Z$7))*(INDEX($X$27:$X$46,MATCH($AD101,$W$27:$W$46,1))/(INDEX($AA$4:$AA$7,MATCH(INDOOR_1,$Z$4:$Z$7))+INDEX($AA$4:$AA$7,MATCH(INDOOR_2,$Z$4:$Z$7))+INDEX($AA$4:$AA$7,MATCH(INDOOR_3,$Z$4:$Z$7))))))</f>
        <v>10.463111111111111</v>
      </c>
      <c r="AM101" s="167">
        <f t="shared" ref="AM101:AM118" ca="1" si="122">IF((INDEX($AA$4:$AA$7,MATCH(INDOOR_2,$Z$4:$Z$7))*(INDEX($X$27:$X$46,MATCH($AD101,$W$27:$W$46,1))/(INDEX($AA$4:$AA$7,MATCH(INDOOR_1,$Z$4:$Z$7))+INDEX($AA$4:$AA$7,MATCH(INDOOR_2,$Z$4:$Z$7))+INDEX($AA$4:$AA$7,MATCH(INDOOR_3,$Z$4:$Z$7)))))
&gt;AS101,AS101,
(INDEX($AA$4:$AA$7,MATCH(INDOOR_2,$Z$4:$Z$7))*(INDEX($X$27:$X$46,MATCH($AD101,$W$27:$W$46,1))/(INDEX($AA$4:$AA$7,MATCH(INDOOR_1,$Z$4:$Z$7))+INDEX($AA$4:$AA$7,MATCH(INDOOR_2,$Z$4:$Z$7))+INDEX($AA$4:$AA$7,MATCH(INDOOR_3,$Z$4:$Z$7))))))</f>
        <v>10.463111111111111</v>
      </c>
      <c r="AN101" s="167">
        <f t="shared" ref="AN101:AN118" ca="1" si="123">IF((INDEX($AA$4:$AA$7,MATCH(INDOOR_3,$Z$4:$Z$7))*(INDEX($X$27:$X$46,MATCH($AD101,$W$27:$W$46,1))/(INDEX($AA$4:$AA$7,MATCH(INDOOR_1,$Z$4:$Z$7))+INDEX($AA$4:$AA$7,MATCH(INDOOR_2,$Z$4:$Z$7))+INDEX($AA$4:$AA$7,MATCH(INDOOR_3,$Z$4:$Z$7)))))
&gt;AT101,AT101,
(INDEX($AA$4:$AA$7,MATCH(INDOOR_3,$Z$4:$Z$7))*(INDEX($X$27:$X$46,MATCH($AD101,$W$27:$W$46,1))/(INDEX($AA$4:$AA$7,MATCH(INDOOR_1,$Z$4:$Z$7))+INDEX($AA$4:$AA$7,MATCH(INDOOR_2,$Z$4:$Z$7))+INDEX($AA$4:$AA$7,MATCH(INDOOR_3,$Z$4:$Z$7))))))</f>
        <v>10.463111111111111</v>
      </c>
      <c r="AO101" s="178"/>
      <c r="AP101" s="178"/>
      <c r="AQ101" s="169">
        <f t="shared" ca="1" si="107"/>
        <v>31.389333333333333</v>
      </c>
      <c r="AR101" s="170">
        <f ca="1">INDEX('Cap based on indoor unit SZ'!$J$6:$J$21,MATCH(AE101,'Cap based on indoor unit SZ'!$I$6:$I$21))</f>
        <v>10.463111111111111</v>
      </c>
      <c r="AS101" s="170">
        <f ca="1">INDEX('Cap based on indoor unit SZ'!$J$6:$J$21,MATCH(AF101,'Cap based on indoor unit SZ'!$I$6:$I$21))</f>
        <v>10.463111111111111</v>
      </c>
      <c r="AT101" s="170">
        <f ca="1">INDEX('Cap based on indoor unit SZ'!$J$6:$J$21,MATCH(AG101,'Cap based on indoor unit SZ'!$I$6:$I$21))</f>
        <v>10.463111111111111</v>
      </c>
      <c r="AU101" s="179"/>
      <c r="AV101" s="179"/>
      <c r="AW101" s="169">
        <f t="shared" si="108"/>
        <v>28.5</v>
      </c>
      <c r="AX101" s="170">
        <v>9.5</v>
      </c>
      <c r="AY101" s="170">
        <v>9.5</v>
      </c>
      <c r="AZ101" s="170">
        <v>9.5</v>
      </c>
      <c r="BA101" s="179"/>
      <c r="BB101" s="179"/>
      <c r="BC101" s="172">
        <f t="shared" ca="1" si="109"/>
        <v>48.489999999999995</v>
      </c>
      <c r="BD101" s="173">
        <f t="shared" ref="BD101:BF118" ca="1" si="124">(INDEX($AA$4:$AA$7,MATCH(AE101,$Z$4:$Z$7))*(INDEX($X$27:$X$46,MATCH($AD101,$W$27:$W$46,1))/(INDEX($AA$4:$AA$7,MATCH($AE101,$Z$4:$Z$7))+INDEX($AA$4:$AA$7,MATCH($AF101,$Z$4:$Z$7))+INDEX($AA$4:$AA$7,MATCH($AG101,$Z$4:$Z$7)))))</f>
        <v>16.16333333333333</v>
      </c>
      <c r="BE101" s="173">
        <f t="shared" ca="1" si="124"/>
        <v>16.16333333333333</v>
      </c>
      <c r="BF101" s="173">
        <f t="shared" ca="1" si="124"/>
        <v>16.16333333333333</v>
      </c>
      <c r="BG101" s="180"/>
      <c r="BH101" s="180"/>
      <c r="BI101" s="166">
        <f t="shared" ca="1" si="112"/>
        <v>35.868061538461532</v>
      </c>
      <c r="BJ101" s="167">
        <f t="shared" ref="BJ101:BJ118" ca="1" si="125">IF((INDEX($AA$4:$AA$7,MATCH(INDOOR_1,$Z$4:$Z$7))*(INDEX($X$118:$X$137,MATCH($AD101,$W$118:$W$137,1))/(INDEX($AA$4:$AA$7,MATCH(INDOOR_1,$Z$4:$Z$7))+INDEX($AA$4:$AA$7,MATCH(INDOOR_2,$Z$4:$Z$7))+INDEX($AA$4:$AA$7,MATCH(INDOOR_3,$Z$4:$Z$7)))))
&gt;BP101,BP101,
(INDEX($AA$4:$AA$7,MATCH(INDOOR_1,$Z$4:$Z$7))*(INDEX($X$118:$X$137,MATCH($AD101,$W$118:$W$137,1))/(INDEX($AA$4:$AA$7,MATCH(INDOOR_1,$Z$4:$Z$7))+INDEX($AA$4:$AA$7,MATCH(INDOOR_2,$Z$4:$Z$7))+INDEX($AA$4:$AA$7,MATCH(INDOOR_3,$Z$4:$Z$7))))))</f>
        <v>11.956020512820512</v>
      </c>
      <c r="BK101" s="167">
        <f t="shared" ref="BK101:BK118" ca="1" si="126">IF((INDEX($AA$4:$AA$7,MATCH(INDOOR_2,$Z$4:$Z$7))*(INDEX($X$118:$X$137,MATCH($AD101,$W$118:$W$137,1))/(INDEX($AA$4:$AA$7,MATCH(INDOOR_1,$Z$4:$Z$7))+INDEX($AA$4:$AA$7,MATCH(INDOOR_2,$Z$4:$Z$7))+INDEX($AA$4:$AA$7,MATCH(INDOOR_3,$Z$4:$Z$7)))))
&gt;BQ101,BQ101,
(INDEX($AA$4:$AA$7,MATCH(INDOOR_2,$Z$4:$Z$7))*(INDEX($X$118:$X$137,MATCH($AD101,$W$118:$W$137,1))/(INDEX($AA$4:$AA$7,MATCH(INDOOR_1,$Z$4:$Z$7))+INDEX($AA$4:$AA$7,MATCH(INDOOR_2,$Z$4:$Z$7))+INDEX($AA$4:$AA$7,MATCH(INDOOR_3,$Z$4:$Z$7))))))</f>
        <v>11.956020512820512</v>
      </c>
      <c r="BL101" s="167">
        <f t="shared" ref="BL101:BL118" ca="1" si="127">IF((INDEX($AA$4:$AA$7,MATCH(INDOOR_3,$Z$4:$Z$7))*(INDEX($X$118:$X$137,MATCH($AD101,$W$118:$W$137,1))/(INDEX($AA$4:$AA$7,MATCH(INDOOR_1,$Z$4:$Z$7))+INDEX($AA$4:$AA$7,MATCH(INDOOR_2,$Z$4:$Z$7))+INDEX($AA$4:$AA$7,MATCH(INDOOR_3,$Z$4:$Z$7)))))
&gt;BR101,BR101,
(INDEX($AA$4:$AA$7,MATCH(INDOOR_3,$Z$4:$Z$7))*(INDEX($X$118:$X$137,MATCH($AD101,$W$118:$W$137,1))/(INDEX($AA$4:$AA$7,MATCH(INDOOR_1,$Z$4:$Z$7))+INDEX($AA$4:$AA$7,MATCH(INDOOR_2,$Z$4:$Z$7))+INDEX($AA$4:$AA$7,MATCH(INDOOR_3,$Z$4:$Z$7))))))</f>
        <v>11.956020512820512</v>
      </c>
      <c r="BM101" s="178"/>
      <c r="BN101" s="178"/>
      <c r="BO101" s="169">
        <f t="shared" ca="1" si="115"/>
        <v>35.868061538461532</v>
      </c>
      <c r="BP101" s="170">
        <f ca="1">INDEX('Cap based on indoor unit SZ'!$V$43:$V$58,MATCH(AE101,'Cap based on indoor unit SZ'!$U$43:$U$58))</f>
        <v>11.956020512820512</v>
      </c>
      <c r="BQ101" s="170">
        <f ca="1">INDEX('Cap based on indoor unit SZ'!$V$43:$V$58,MATCH(AF101,'Cap based on indoor unit SZ'!$U$43:$U$58))</f>
        <v>11.956020512820512</v>
      </c>
      <c r="BR101" s="170">
        <f ca="1">INDEX('Cap based on indoor unit SZ'!$V$43:$V$58,MATCH(AG101,'Cap based on indoor unit SZ'!$U$43:$U$58))</f>
        <v>11.956020512820512</v>
      </c>
      <c r="BS101" s="179"/>
      <c r="BT101" s="179"/>
      <c r="BU101" s="175">
        <v>11000</v>
      </c>
      <c r="BV101" s="175">
        <v>11000</v>
      </c>
      <c r="BW101" s="175">
        <v>11000</v>
      </c>
      <c r="BX101" s="179"/>
      <c r="BY101" s="179"/>
      <c r="BZ101" s="172">
        <f t="shared" ca="1" si="116"/>
        <v>54.937094017094012</v>
      </c>
      <c r="CA101" s="173">
        <f t="shared" ref="CA101:CA118" ca="1" si="128">(INDEX($AA$4:$AA$7,MATCH(INDOOR_1,$Z$4:$Z$7))*(INDEX($X$118:$X$137,MATCH($AD101,$W$118:$W$137,1))/(INDEX($AA$4:$AA$7,MATCH(INDOOR_1,$Z$4:$Z$7))+INDEX($AA$4:$AA$7,MATCH(INDOOR_2,$Z$4:$Z$7))+INDEX($AA$4:$AA$7,MATCH(INDOOR_3,$Z$4:$Z$7)))))</f>
        <v>18.312364672364669</v>
      </c>
      <c r="CB101" s="173">
        <f t="shared" ref="CB101:CB118" ca="1" si="129">(INDEX($AA$4:$AA$7,MATCH(INDOOR_2,$Z$4:$Z$7))*(INDEX($X$118:$X$137,MATCH($AD101,$W$118:$W$137,1))/(INDEX($AA$4:$AA$7,MATCH(INDOOR_1,$Z$4:$Z$7))+INDEX($AA$4:$AA$7,MATCH(INDOOR_2,$Z$4:$Z$7))+INDEX($AA$4:$AA$7,MATCH(INDOOR_3,$Z$4:$Z$7)))))</f>
        <v>18.312364672364669</v>
      </c>
      <c r="CC101" s="173">
        <f t="shared" ref="CC101:CC118" ca="1" si="130">(INDEX($AA$4:$AA$7,MATCH(INDOOR_3,$Z$4:$Z$7))*(INDEX($X$118:$X$137,MATCH($AD101,$W$118:$W$137,1))/(INDEX($AA$4:$AA$7,MATCH(INDOOR_1,$Z$4:$Z$7))+INDEX($AA$4:$AA$7,MATCH(INDOOR_2,$Z$4:$Z$7))+INDEX($AA$4:$AA$7,MATCH(INDOOR_3,$Z$4:$Z$7)))))</f>
        <v>18.312364672364669</v>
      </c>
      <c r="CD101" s="180"/>
      <c r="CE101" s="180"/>
      <c r="CF101" s="166">
        <f t="shared" ca="1" si="119"/>
        <v>24.780395979458294</v>
      </c>
      <c r="CG101" s="167">
        <f t="shared" ca="1" si="120"/>
        <v>8.2601319931527648</v>
      </c>
      <c r="CH101" s="167">
        <f t="shared" ca="1" si="120"/>
        <v>8.2601319931527648</v>
      </c>
      <c r="CI101" s="167">
        <f t="shared" ca="1" si="120"/>
        <v>8.2601319931527648</v>
      </c>
      <c r="CJ101" s="178"/>
      <c r="CK101" s="178"/>
    </row>
    <row r="102" spans="2:89">
      <c r="B102" s="283">
        <v>36</v>
      </c>
      <c r="C102" s="284">
        <v>89.6</v>
      </c>
      <c r="D102" s="284">
        <v>73.400000000000006</v>
      </c>
      <c r="E102" s="8" t="s">
        <v>17</v>
      </c>
      <c r="F102" s="9">
        <v>2.89</v>
      </c>
      <c r="G102" s="9">
        <v>2.9550000000000001</v>
      </c>
      <c r="H102" s="9">
        <v>2.9850000000000003</v>
      </c>
      <c r="I102" s="9">
        <v>3.0049999999999999</v>
      </c>
      <c r="J102" s="9">
        <v>3.0449999999999999</v>
      </c>
      <c r="K102" s="9">
        <v>3.1550000000000002</v>
      </c>
      <c r="L102" s="9">
        <v>3.1950000000000003</v>
      </c>
      <c r="M102" s="9">
        <v>3.58</v>
      </c>
      <c r="N102" s="9">
        <v>4.0149999999999997</v>
      </c>
      <c r="O102" s="9">
        <v>3.9050000000000002</v>
      </c>
      <c r="P102" s="9">
        <v>3.9550000000000001</v>
      </c>
      <c r="Q102" s="9">
        <v>3.57</v>
      </c>
      <c r="R102" s="6"/>
      <c r="AC102" s="164" t="s">
        <v>179</v>
      </c>
      <c r="AD102" s="164">
        <v>48</v>
      </c>
      <c r="AE102" s="165">
        <v>9</v>
      </c>
      <c r="AF102" s="165">
        <v>9</v>
      </c>
      <c r="AG102" s="165">
        <v>12</v>
      </c>
      <c r="AH102" s="164"/>
      <c r="AI102" s="164"/>
      <c r="AJ102" s="500"/>
      <c r="AK102" s="166">
        <f t="shared" ca="1" si="104"/>
        <v>34.005111111111113</v>
      </c>
      <c r="AL102" s="167">
        <f t="shared" ca="1" si="121"/>
        <v>10.463111111111111</v>
      </c>
      <c r="AM102" s="167">
        <f t="shared" ca="1" si="122"/>
        <v>10.463111111111111</v>
      </c>
      <c r="AN102" s="167">
        <f t="shared" ca="1" si="123"/>
        <v>13.078888888888891</v>
      </c>
      <c r="AO102" s="178"/>
      <c r="AP102" s="178"/>
      <c r="AQ102" s="169">
        <f t="shared" ca="1" si="107"/>
        <v>34.005111111111113</v>
      </c>
      <c r="AR102" s="170">
        <f ca="1">INDEX('Cap based on indoor unit SZ'!$J$6:$J$21,MATCH(AE102,'Cap based on indoor unit SZ'!$I$6:$I$21))</f>
        <v>10.463111111111111</v>
      </c>
      <c r="AS102" s="170">
        <f ca="1">INDEX('Cap based on indoor unit SZ'!$J$6:$J$21,MATCH(AF102,'Cap based on indoor unit SZ'!$I$6:$I$21))</f>
        <v>10.463111111111111</v>
      </c>
      <c r="AT102" s="170">
        <f ca="1">INDEX('Cap based on indoor unit SZ'!$J$6:$J$21,MATCH(AG102,'Cap based on indoor unit SZ'!$I$6:$I$21))</f>
        <v>13.078888888888891</v>
      </c>
      <c r="AU102" s="179"/>
      <c r="AV102" s="179"/>
      <c r="AW102" s="169">
        <f t="shared" si="108"/>
        <v>31</v>
      </c>
      <c r="AX102" s="170">
        <v>9.5</v>
      </c>
      <c r="AY102" s="170">
        <v>9.5</v>
      </c>
      <c r="AZ102" s="170">
        <v>12</v>
      </c>
      <c r="BA102" s="179"/>
      <c r="BB102" s="179"/>
      <c r="BC102" s="172">
        <f t="shared" ca="1" si="109"/>
        <v>48.49</v>
      </c>
      <c r="BD102" s="173">
        <f t="shared" ca="1" si="124"/>
        <v>14.547000000000001</v>
      </c>
      <c r="BE102" s="173">
        <f t="shared" ca="1" si="124"/>
        <v>14.547000000000001</v>
      </c>
      <c r="BF102" s="173">
        <f t="shared" ca="1" si="124"/>
        <v>19.396000000000001</v>
      </c>
      <c r="BG102" s="180"/>
      <c r="BH102" s="180"/>
      <c r="BI102" s="166">
        <f t="shared" ca="1" si="112"/>
        <v>38.857066666666668</v>
      </c>
      <c r="BJ102" s="167">
        <f t="shared" ca="1" si="125"/>
        <v>11.956020512820512</v>
      </c>
      <c r="BK102" s="167">
        <f t="shared" ca="1" si="126"/>
        <v>11.956020512820512</v>
      </c>
      <c r="BL102" s="167">
        <f t="shared" ca="1" si="127"/>
        <v>14.945025641025641</v>
      </c>
      <c r="BM102" s="178"/>
      <c r="BN102" s="178"/>
      <c r="BO102" s="169">
        <f t="shared" ca="1" si="115"/>
        <v>38.857066666666668</v>
      </c>
      <c r="BP102" s="170">
        <f ca="1">INDEX('Cap based on indoor unit SZ'!$V$43:$V$58,MATCH(AE102,'Cap based on indoor unit SZ'!$U$43:$U$58))</f>
        <v>11.956020512820512</v>
      </c>
      <c r="BQ102" s="170">
        <f ca="1">INDEX('Cap based on indoor unit SZ'!$V$43:$V$58,MATCH(AF102,'Cap based on indoor unit SZ'!$U$43:$U$58))</f>
        <v>11.956020512820512</v>
      </c>
      <c r="BR102" s="170">
        <f ca="1">INDEX('Cap based on indoor unit SZ'!$V$43:$V$58,MATCH(AG102,'Cap based on indoor unit SZ'!$U$43:$U$58))</f>
        <v>14.945025641025641</v>
      </c>
      <c r="BS102" s="179"/>
      <c r="BT102" s="179"/>
      <c r="BU102" s="175">
        <v>10500</v>
      </c>
      <c r="BV102" s="175">
        <v>10500</v>
      </c>
      <c r="BW102" s="175">
        <v>13000</v>
      </c>
      <c r="BX102" s="179"/>
      <c r="BY102" s="179"/>
      <c r="BZ102" s="172">
        <f t="shared" ca="1" si="116"/>
        <v>54.937094017094012</v>
      </c>
      <c r="CA102" s="173">
        <f t="shared" ca="1" si="128"/>
        <v>16.481128205128204</v>
      </c>
      <c r="CB102" s="173">
        <f t="shared" ca="1" si="129"/>
        <v>16.481128205128204</v>
      </c>
      <c r="CC102" s="173">
        <f t="shared" ca="1" si="130"/>
        <v>21.974837606837603</v>
      </c>
      <c r="CD102" s="180"/>
      <c r="CE102" s="180"/>
      <c r="CF102" s="166">
        <f t="shared" ca="1" si="119"/>
        <v>26.845428977746487</v>
      </c>
      <c r="CG102" s="167">
        <f t="shared" ca="1" si="120"/>
        <v>8.2601319931527648</v>
      </c>
      <c r="CH102" s="167">
        <f t="shared" ca="1" si="120"/>
        <v>8.2601319931527648</v>
      </c>
      <c r="CI102" s="167">
        <f t="shared" ca="1" si="120"/>
        <v>10.325164991440959</v>
      </c>
      <c r="CJ102" s="178"/>
      <c r="CK102" s="178"/>
    </row>
    <row r="103" spans="2:89">
      <c r="B103" s="284">
        <v>48</v>
      </c>
      <c r="C103" s="284">
        <v>69.8</v>
      </c>
      <c r="D103" s="284">
        <v>59</v>
      </c>
      <c r="E103" s="8" t="s">
        <v>17</v>
      </c>
      <c r="F103" s="9">
        <v>2.1950000000000003</v>
      </c>
      <c r="G103" s="9">
        <v>2.2400000000000002</v>
      </c>
      <c r="H103" s="9">
        <v>2.2799999999999998</v>
      </c>
      <c r="I103" s="9">
        <v>2.35</v>
      </c>
      <c r="J103" s="9">
        <v>2.38</v>
      </c>
      <c r="K103" s="9">
        <v>2.41</v>
      </c>
      <c r="L103" s="9">
        <v>2.46</v>
      </c>
      <c r="M103" s="9">
        <v>2.78</v>
      </c>
      <c r="N103" s="9">
        <v>3.11</v>
      </c>
      <c r="O103" s="9">
        <v>3.45</v>
      </c>
      <c r="P103" s="9">
        <v>3.64</v>
      </c>
      <c r="Q103" s="9">
        <v>3.08</v>
      </c>
      <c r="R103" s="6"/>
      <c r="AC103" s="164" t="s">
        <v>178</v>
      </c>
      <c r="AD103" s="164">
        <v>48</v>
      </c>
      <c r="AE103" s="165">
        <v>9</v>
      </c>
      <c r="AF103" s="165">
        <v>9</v>
      </c>
      <c r="AG103" s="165">
        <v>18</v>
      </c>
      <c r="AH103" s="164"/>
      <c r="AI103" s="164"/>
      <c r="AJ103" s="500"/>
      <c r="AK103" s="166">
        <f t="shared" ca="1" si="104"/>
        <v>40.74733333333333</v>
      </c>
      <c r="AL103" s="167">
        <f t="shared" ca="1" si="121"/>
        <v>10.463111111111111</v>
      </c>
      <c r="AM103" s="167">
        <f t="shared" ca="1" si="122"/>
        <v>10.463111111111111</v>
      </c>
      <c r="AN103" s="167">
        <f t="shared" ca="1" si="123"/>
        <v>19.821111111111112</v>
      </c>
      <c r="AO103" s="178"/>
      <c r="AP103" s="178"/>
      <c r="AQ103" s="169">
        <f t="shared" ca="1" si="107"/>
        <v>40.74733333333333</v>
      </c>
      <c r="AR103" s="170">
        <f ca="1">INDEX('Cap based on indoor unit SZ'!$J$6:$J$21,MATCH(AE103,'Cap based on indoor unit SZ'!$I$6:$I$21))</f>
        <v>10.463111111111111</v>
      </c>
      <c r="AS103" s="170">
        <f ca="1">INDEX('Cap based on indoor unit SZ'!$J$6:$J$21,MATCH(AF103,'Cap based on indoor unit SZ'!$I$6:$I$21))</f>
        <v>10.463111111111111</v>
      </c>
      <c r="AT103" s="170">
        <f ca="1">INDEX('Cap based on indoor unit SZ'!$J$6:$J$21,MATCH(AG103,'Cap based on indoor unit SZ'!$I$6:$I$21))</f>
        <v>19.821111111111112</v>
      </c>
      <c r="AU103" s="179"/>
      <c r="AV103" s="179"/>
      <c r="AW103" s="169">
        <f t="shared" si="108"/>
        <v>37</v>
      </c>
      <c r="AX103" s="170">
        <v>9.5</v>
      </c>
      <c r="AY103" s="170">
        <v>9.5</v>
      </c>
      <c r="AZ103" s="170">
        <v>18</v>
      </c>
      <c r="BA103" s="179"/>
      <c r="BB103" s="179"/>
      <c r="BC103" s="172">
        <f t="shared" ca="1" si="109"/>
        <v>48.489999999999995</v>
      </c>
      <c r="BD103" s="173">
        <f t="shared" ca="1" si="124"/>
        <v>12.122499999999999</v>
      </c>
      <c r="BE103" s="173">
        <f t="shared" ca="1" si="124"/>
        <v>12.122499999999999</v>
      </c>
      <c r="BF103" s="173">
        <f t="shared" ca="1" si="124"/>
        <v>24.244999999999997</v>
      </c>
      <c r="BG103" s="180"/>
      <c r="BH103" s="180"/>
      <c r="BI103" s="166">
        <f t="shared" ca="1" si="112"/>
        <v>48.51086153846154</v>
      </c>
      <c r="BJ103" s="167">
        <f t="shared" ca="1" si="125"/>
        <v>11.956020512820512</v>
      </c>
      <c r="BK103" s="167">
        <f t="shared" ca="1" si="126"/>
        <v>11.956020512820512</v>
      </c>
      <c r="BL103" s="167">
        <f t="shared" ca="1" si="127"/>
        <v>24.598820512820513</v>
      </c>
      <c r="BM103" s="178"/>
      <c r="BN103" s="178"/>
      <c r="BO103" s="169">
        <f t="shared" ca="1" si="115"/>
        <v>48.51086153846154</v>
      </c>
      <c r="BP103" s="170">
        <f ca="1">INDEX('Cap based on indoor unit SZ'!$V$43:$V$58,MATCH(AE103,'Cap based on indoor unit SZ'!$U$43:$U$58))</f>
        <v>11.956020512820512</v>
      </c>
      <c r="BQ103" s="170">
        <f ca="1">INDEX('Cap based on indoor unit SZ'!$V$43:$V$58,MATCH(AF103,'Cap based on indoor unit SZ'!$U$43:$U$58))</f>
        <v>11.956020512820512</v>
      </c>
      <c r="BR103" s="170">
        <f ca="1">INDEX('Cap based on indoor unit SZ'!$V$43:$V$58,MATCH(AG103,'Cap based on indoor unit SZ'!$U$43:$U$58))</f>
        <v>24.598820512820513</v>
      </c>
      <c r="BS103" s="179"/>
      <c r="BT103" s="179"/>
      <c r="BU103" s="175">
        <v>10000</v>
      </c>
      <c r="BV103" s="175">
        <v>10000</v>
      </c>
      <c r="BW103" s="175">
        <v>19000</v>
      </c>
      <c r="BX103" s="179"/>
      <c r="BY103" s="179"/>
      <c r="BZ103" s="172">
        <f t="shared" ca="1" si="116"/>
        <v>54.937094017094012</v>
      </c>
      <c r="CA103" s="173">
        <f t="shared" ca="1" si="128"/>
        <v>13.734273504273503</v>
      </c>
      <c r="CB103" s="173">
        <f t="shared" ca="1" si="129"/>
        <v>13.734273504273503</v>
      </c>
      <c r="CC103" s="173">
        <f t="shared" ca="1" si="130"/>
        <v>27.468547008547006</v>
      </c>
      <c r="CD103" s="180"/>
      <c r="CE103" s="180"/>
      <c r="CF103" s="166">
        <f t="shared" ca="1" si="119"/>
        <v>32.168094950736354</v>
      </c>
      <c r="CG103" s="167">
        <f t="shared" ca="1" si="120"/>
        <v>8.2601319931527648</v>
      </c>
      <c r="CH103" s="167">
        <f t="shared" ca="1" si="120"/>
        <v>8.2601319931527648</v>
      </c>
      <c r="CI103" s="167">
        <f t="shared" ca="1" si="120"/>
        <v>15.647830964430824</v>
      </c>
      <c r="CJ103" s="178"/>
      <c r="CK103" s="178"/>
    </row>
    <row r="104" spans="2:89">
      <c r="B104" s="284">
        <v>48</v>
      </c>
      <c r="C104" s="284">
        <v>75.2</v>
      </c>
      <c r="D104" s="284">
        <v>62.6</v>
      </c>
      <c r="E104" s="8" t="s">
        <v>17</v>
      </c>
      <c r="F104" s="9">
        <v>2.2599999999999998</v>
      </c>
      <c r="G104" s="9">
        <v>2.31</v>
      </c>
      <c r="H104" s="9">
        <v>2.35</v>
      </c>
      <c r="I104" s="9">
        <v>2.42</v>
      </c>
      <c r="J104" s="9">
        <v>2.4500000000000002</v>
      </c>
      <c r="K104" s="9">
        <v>2.48</v>
      </c>
      <c r="L104" s="9">
        <v>2.5299999999999998</v>
      </c>
      <c r="M104" s="9">
        <v>2.85</v>
      </c>
      <c r="N104" s="9">
        <v>3.18</v>
      </c>
      <c r="O104" s="9">
        <v>3.52</v>
      </c>
      <c r="P104" s="9">
        <v>3.71</v>
      </c>
      <c r="Q104" s="9">
        <v>3.15</v>
      </c>
      <c r="R104" s="6"/>
      <c r="AC104" s="164" t="s">
        <v>177</v>
      </c>
      <c r="AD104" s="164">
        <v>48</v>
      </c>
      <c r="AE104" s="165">
        <v>9</v>
      </c>
      <c r="AF104" s="165">
        <v>9</v>
      </c>
      <c r="AG104" s="165">
        <v>24</v>
      </c>
      <c r="AH104" s="164"/>
      <c r="AI104" s="164"/>
      <c r="AJ104" s="501"/>
      <c r="AK104" s="166">
        <f t="shared" ca="1" si="104"/>
        <v>45.233650793650789</v>
      </c>
      <c r="AL104" s="167">
        <f t="shared" ca="1" si="121"/>
        <v>10.390714285714285</v>
      </c>
      <c r="AM104" s="167">
        <f t="shared" ca="1" si="122"/>
        <v>10.390714285714285</v>
      </c>
      <c r="AN104" s="167">
        <f t="shared" ca="1" si="123"/>
        <v>24.452222222222218</v>
      </c>
      <c r="AO104" s="178"/>
      <c r="AP104" s="178"/>
      <c r="AQ104" s="169">
        <f t="shared" ca="1" si="107"/>
        <v>45.37844444444444</v>
      </c>
      <c r="AR104" s="170">
        <f ca="1">INDEX('Cap based on indoor unit SZ'!$J$6:$J$21,MATCH(AE104,'Cap based on indoor unit SZ'!$I$6:$I$21))</f>
        <v>10.463111111111111</v>
      </c>
      <c r="AS104" s="170">
        <f ca="1">INDEX('Cap based on indoor unit SZ'!$J$6:$J$21,MATCH(AF104,'Cap based on indoor unit SZ'!$I$6:$I$21))</f>
        <v>10.463111111111111</v>
      </c>
      <c r="AT104" s="170">
        <f ca="1">INDEX('Cap based on indoor unit SZ'!$J$6:$J$21,MATCH(AG104,'Cap based on indoor unit SZ'!$I$6:$I$21))</f>
        <v>24.452222222222218</v>
      </c>
      <c r="AU104" s="179"/>
      <c r="AV104" s="179"/>
      <c r="AW104" s="169">
        <f t="shared" si="108"/>
        <v>40.5</v>
      </c>
      <c r="AX104" s="170">
        <v>9</v>
      </c>
      <c r="AY104" s="170">
        <v>9</v>
      </c>
      <c r="AZ104" s="170">
        <v>22.5</v>
      </c>
      <c r="BA104" s="179"/>
      <c r="BB104" s="179"/>
      <c r="BC104" s="172">
        <f t="shared" ca="1" si="109"/>
        <v>48.489999999999995</v>
      </c>
      <c r="BD104" s="173">
        <f t="shared" ca="1" si="124"/>
        <v>10.390714285714285</v>
      </c>
      <c r="BE104" s="173">
        <f t="shared" ca="1" si="124"/>
        <v>10.390714285714285</v>
      </c>
      <c r="BF104" s="173">
        <f t="shared" ca="1" si="124"/>
        <v>27.708571428571425</v>
      </c>
      <c r="BG104" s="180"/>
      <c r="BH104" s="180"/>
      <c r="BI104" s="166">
        <f t="shared" ca="1" si="112"/>
        <v>53.834468864468867</v>
      </c>
      <c r="BJ104" s="167">
        <f t="shared" ca="1" si="125"/>
        <v>11.772234432234432</v>
      </c>
      <c r="BK104" s="167">
        <f t="shared" ca="1" si="126"/>
        <v>11.772234432234432</v>
      </c>
      <c r="BL104" s="167">
        <f t="shared" ca="1" si="127"/>
        <v>30.290000000000003</v>
      </c>
      <c r="BM104" s="178"/>
      <c r="BN104" s="178"/>
      <c r="BO104" s="169">
        <f t="shared" ca="1" si="115"/>
        <v>54.202041025641023</v>
      </c>
      <c r="BP104" s="170">
        <f ca="1">INDEX('Cap based on indoor unit SZ'!$V$43:$V$58,MATCH(AE104,'Cap based on indoor unit SZ'!$U$43:$U$58))</f>
        <v>11.956020512820512</v>
      </c>
      <c r="BQ104" s="170">
        <f ca="1">INDEX('Cap based on indoor unit SZ'!$V$43:$V$58,MATCH(AF104,'Cap based on indoor unit SZ'!$U$43:$U$58))</f>
        <v>11.956020512820512</v>
      </c>
      <c r="BR104" s="170">
        <f ca="1">INDEX('Cap based on indoor unit SZ'!$V$43:$V$58,MATCH(AG104,'Cap based on indoor unit SZ'!$U$43:$U$58))</f>
        <v>30.290000000000003</v>
      </c>
      <c r="BS104" s="179"/>
      <c r="BT104" s="179"/>
      <c r="BU104" s="175">
        <v>9500</v>
      </c>
      <c r="BV104" s="175">
        <v>9500</v>
      </c>
      <c r="BW104" s="175">
        <v>23500</v>
      </c>
      <c r="BX104" s="179"/>
      <c r="BY104" s="179"/>
      <c r="BZ104" s="172">
        <f t="shared" ca="1" si="116"/>
        <v>54.937094017094012</v>
      </c>
      <c r="CA104" s="173">
        <f t="shared" ca="1" si="128"/>
        <v>11.772234432234432</v>
      </c>
      <c r="CB104" s="173">
        <f t="shared" ca="1" si="129"/>
        <v>11.772234432234432</v>
      </c>
      <c r="CC104" s="173">
        <f t="shared" ca="1" si="130"/>
        <v>31.392625152625151</v>
      </c>
      <c r="CD104" s="180"/>
      <c r="CE104" s="180"/>
      <c r="CF104" s="166">
        <f t="shared" ca="1" si="119"/>
        <v>35.709830672729737</v>
      </c>
      <c r="CG104" s="167">
        <f t="shared" ca="1" si="120"/>
        <v>8.2029781191938067</v>
      </c>
      <c r="CH104" s="167">
        <f t="shared" ca="1" si="120"/>
        <v>8.2029781191938067</v>
      </c>
      <c r="CI104" s="167">
        <f t="shared" ca="1" si="120"/>
        <v>19.30387443434212</v>
      </c>
      <c r="CJ104" s="178"/>
      <c r="CK104" s="178"/>
    </row>
    <row r="105" spans="2:89">
      <c r="B105" s="284">
        <v>48</v>
      </c>
      <c r="C105" s="284">
        <v>80.599999999999994</v>
      </c>
      <c r="D105" s="284">
        <v>66.2</v>
      </c>
      <c r="E105" s="8" t="s">
        <v>17</v>
      </c>
      <c r="F105" s="9">
        <v>3.2800000000000002</v>
      </c>
      <c r="G105" s="9">
        <v>3.35</v>
      </c>
      <c r="H105" s="9">
        <v>3.42</v>
      </c>
      <c r="I105" s="9">
        <v>3.5</v>
      </c>
      <c r="J105" s="9">
        <v>3.55</v>
      </c>
      <c r="K105" s="9">
        <v>3.66</v>
      </c>
      <c r="L105" s="9">
        <v>3.95</v>
      </c>
      <c r="M105" s="9">
        <v>4.4000000000000004</v>
      </c>
      <c r="N105" s="9">
        <v>4.87</v>
      </c>
      <c r="O105" s="9">
        <v>3.8449999999999998</v>
      </c>
      <c r="P105" s="9">
        <v>4.05</v>
      </c>
      <c r="Q105" s="9">
        <v>3.5550000000000002</v>
      </c>
      <c r="R105" s="6"/>
      <c r="AC105" s="164" t="s">
        <v>176</v>
      </c>
      <c r="AD105" s="164">
        <v>48</v>
      </c>
      <c r="AE105" s="165">
        <v>9</v>
      </c>
      <c r="AF105" s="165">
        <v>12</v>
      </c>
      <c r="AG105" s="165">
        <v>12</v>
      </c>
      <c r="AH105" s="164"/>
      <c r="AI105" s="164"/>
      <c r="AJ105" s="501"/>
      <c r="AK105" s="166">
        <f t="shared" ca="1" si="104"/>
        <v>36.620888888888892</v>
      </c>
      <c r="AL105" s="167">
        <f t="shared" ca="1" si="121"/>
        <v>10.463111111111111</v>
      </c>
      <c r="AM105" s="167">
        <f t="shared" ca="1" si="122"/>
        <v>13.078888888888891</v>
      </c>
      <c r="AN105" s="167">
        <f t="shared" ca="1" si="123"/>
        <v>13.078888888888891</v>
      </c>
      <c r="AO105" s="178"/>
      <c r="AP105" s="178"/>
      <c r="AQ105" s="169">
        <f t="shared" ca="1" si="107"/>
        <v>36.620888888888892</v>
      </c>
      <c r="AR105" s="170">
        <f ca="1">INDEX('Cap based on indoor unit SZ'!$J$6:$J$21,MATCH(AE105,'Cap based on indoor unit SZ'!$I$6:$I$21))</f>
        <v>10.463111111111111</v>
      </c>
      <c r="AS105" s="170">
        <f ca="1">INDEX('Cap based on indoor unit SZ'!$J$6:$J$21,MATCH(AF105,'Cap based on indoor unit SZ'!$I$6:$I$21))</f>
        <v>13.078888888888891</v>
      </c>
      <c r="AT105" s="170">
        <f ca="1">INDEX('Cap based on indoor unit SZ'!$J$6:$J$21,MATCH(AG105,'Cap based on indoor unit SZ'!$I$6:$I$21))</f>
        <v>13.078888888888891</v>
      </c>
      <c r="AU105" s="179"/>
      <c r="AV105" s="179"/>
      <c r="AW105" s="169">
        <f t="shared" si="108"/>
        <v>34.5</v>
      </c>
      <c r="AX105" s="170">
        <v>9.5</v>
      </c>
      <c r="AY105" s="170">
        <v>12.5</v>
      </c>
      <c r="AZ105" s="170">
        <v>12.5</v>
      </c>
      <c r="BA105" s="179"/>
      <c r="BB105" s="179"/>
      <c r="BC105" s="172">
        <f t="shared" ca="1" si="109"/>
        <v>48.49</v>
      </c>
      <c r="BD105" s="173">
        <f t="shared" ca="1" si="124"/>
        <v>13.224545454545455</v>
      </c>
      <c r="BE105" s="173">
        <f t="shared" ca="1" si="124"/>
        <v>17.632727272727273</v>
      </c>
      <c r="BF105" s="173">
        <f t="shared" ca="1" si="124"/>
        <v>17.632727272727273</v>
      </c>
      <c r="BG105" s="180"/>
      <c r="BH105" s="180"/>
      <c r="BI105" s="166">
        <f t="shared" ca="1" si="112"/>
        <v>41.84607179487179</v>
      </c>
      <c r="BJ105" s="167">
        <f t="shared" ca="1" si="125"/>
        <v>11.956020512820512</v>
      </c>
      <c r="BK105" s="167">
        <f t="shared" ca="1" si="126"/>
        <v>14.945025641025641</v>
      </c>
      <c r="BL105" s="167">
        <f t="shared" ca="1" si="127"/>
        <v>14.945025641025641</v>
      </c>
      <c r="BM105" s="178"/>
      <c r="BN105" s="178"/>
      <c r="BO105" s="169">
        <f t="shared" ca="1" si="115"/>
        <v>41.84607179487179</v>
      </c>
      <c r="BP105" s="170">
        <f ca="1">INDEX('Cap based on indoor unit SZ'!$V$43:$V$58,MATCH(AE105,'Cap based on indoor unit SZ'!$U$43:$U$58))</f>
        <v>11.956020512820512</v>
      </c>
      <c r="BQ105" s="170">
        <f ca="1">INDEX('Cap based on indoor unit SZ'!$V$43:$V$58,MATCH(AF105,'Cap based on indoor unit SZ'!$U$43:$U$58))</f>
        <v>14.945025641025641</v>
      </c>
      <c r="BR105" s="170">
        <f ca="1">INDEX('Cap based on indoor unit SZ'!$V$43:$V$58,MATCH(AG105,'Cap based on indoor unit SZ'!$U$43:$U$58))</f>
        <v>14.945025641025641</v>
      </c>
      <c r="BS105" s="179"/>
      <c r="BT105" s="179"/>
      <c r="BU105" s="175">
        <v>10000</v>
      </c>
      <c r="BV105" s="175">
        <v>13000</v>
      </c>
      <c r="BW105" s="175">
        <v>13000</v>
      </c>
      <c r="BX105" s="179"/>
      <c r="BY105" s="179"/>
      <c r="BZ105" s="172">
        <f t="shared" ca="1" si="116"/>
        <v>54.937094017094019</v>
      </c>
      <c r="CA105" s="173">
        <f t="shared" ca="1" si="128"/>
        <v>14.982843822843824</v>
      </c>
      <c r="CB105" s="173">
        <f t="shared" ca="1" si="129"/>
        <v>19.977125097125096</v>
      </c>
      <c r="CC105" s="173">
        <f t="shared" ca="1" si="130"/>
        <v>19.977125097125096</v>
      </c>
      <c r="CD105" s="180"/>
      <c r="CE105" s="180"/>
      <c r="CF105" s="166">
        <f t="shared" ca="1" si="119"/>
        <v>28.910461976034682</v>
      </c>
      <c r="CG105" s="167">
        <f t="shared" ca="1" si="120"/>
        <v>8.2601319931527648</v>
      </c>
      <c r="CH105" s="167">
        <f t="shared" ca="1" si="120"/>
        <v>10.325164991440959</v>
      </c>
      <c r="CI105" s="167">
        <f t="shared" ca="1" si="120"/>
        <v>10.325164991440959</v>
      </c>
      <c r="CJ105" s="178"/>
      <c r="CK105" s="178"/>
    </row>
    <row r="106" spans="2:89">
      <c r="B106" s="284">
        <v>48</v>
      </c>
      <c r="C106" s="284">
        <v>89.6</v>
      </c>
      <c r="D106" s="284">
        <v>73.400000000000006</v>
      </c>
      <c r="E106" s="8" t="s">
        <v>17</v>
      </c>
      <c r="F106" s="9">
        <v>3.3449999999999998</v>
      </c>
      <c r="G106" s="9">
        <v>3.42</v>
      </c>
      <c r="H106" s="9">
        <v>3.49</v>
      </c>
      <c r="I106" s="9">
        <v>3.57</v>
      </c>
      <c r="J106" s="9">
        <v>3.62</v>
      </c>
      <c r="K106" s="9">
        <v>3.73</v>
      </c>
      <c r="L106" s="9">
        <v>4.0199999999999996</v>
      </c>
      <c r="M106" s="9">
        <v>4.47</v>
      </c>
      <c r="N106" s="9">
        <v>4.9399999999999995</v>
      </c>
      <c r="O106" s="9">
        <v>3.915</v>
      </c>
      <c r="P106" s="9">
        <v>4.12</v>
      </c>
      <c r="Q106" s="9">
        <v>3.625</v>
      </c>
      <c r="R106" s="6"/>
      <c r="AC106" s="164" t="s">
        <v>175</v>
      </c>
      <c r="AD106" s="164">
        <v>48</v>
      </c>
      <c r="AE106" s="165">
        <v>9</v>
      </c>
      <c r="AF106" s="165">
        <v>12</v>
      </c>
      <c r="AG106" s="165">
        <v>18</v>
      </c>
      <c r="AH106" s="164"/>
      <c r="AI106" s="164"/>
      <c r="AJ106" s="501"/>
      <c r="AK106" s="166">
        <f t="shared" ca="1" si="104"/>
        <v>43.36311111111111</v>
      </c>
      <c r="AL106" s="167">
        <f t="shared" ca="1" si="121"/>
        <v>10.463111111111111</v>
      </c>
      <c r="AM106" s="167">
        <f t="shared" ca="1" si="122"/>
        <v>13.078888888888891</v>
      </c>
      <c r="AN106" s="167">
        <f t="shared" ca="1" si="123"/>
        <v>19.821111111111112</v>
      </c>
      <c r="AO106" s="178"/>
      <c r="AP106" s="178"/>
      <c r="AQ106" s="169">
        <f t="shared" ca="1" si="107"/>
        <v>43.36311111111111</v>
      </c>
      <c r="AR106" s="170">
        <f ca="1">INDEX('Cap based on indoor unit SZ'!$J$6:$J$21,MATCH(AE106,'Cap based on indoor unit SZ'!$I$6:$I$21))</f>
        <v>10.463111111111111</v>
      </c>
      <c r="AS106" s="170">
        <f ca="1">INDEX('Cap based on indoor unit SZ'!$J$6:$J$21,MATCH(AF106,'Cap based on indoor unit SZ'!$I$6:$I$21))</f>
        <v>13.078888888888891</v>
      </c>
      <c r="AT106" s="170">
        <f ca="1">INDEX('Cap based on indoor unit SZ'!$J$6:$J$21,MATCH(AG106,'Cap based on indoor unit SZ'!$I$6:$I$21))</f>
        <v>19.821111111111112</v>
      </c>
      <c r="AU106" s="179"/>
      <c r="AV106" s="179"/>
      <c r="AW106" s="169">
        <f t="shared" si="108"/>
        <v>39</v>
      </c>
      <c r="AX106" s="170">
        <v>9</v>
      </c>
      <c r="AY106" s="170">
        <v>12</v>
      </c>
      <c r="AZ106" s="170">
        <v>18</v>
      </c>
      <c r="BA106" s="179"/>
      <c r="BB106" s="179"/>
      <c r="BC106" s="172">
        <f t="shared" ca="1" si="109"/>
        <v>48.489999999999995</v>
      </c>
      <c r="BD106" s="173">
        <f t="shared" ca="1" si="124"/>
        <v>11.19</v>
      </c>
      <c r="BE106" s="173">
        <f t="shared" ca="1" si="124"/>
        <v>14.919999999999998</v>
      </c>
      <c r="BF106" s="173">
        <f t="shared" ca="1" si="124"/>
        <v>22.38</v>
      </c>
      <c r="BG106" s="180"/>
      <c r="BH106" s="180"/>
      <c r="BI106" s="166">
        <f t="shared" ca="1" si="112"/>
        <v>51.499866666666662</v>
      </c>
      <c r="BJ106" s="167">
        <f t="shared" ca="1" si="125"/>
        <v>11.956020512820512</v>
      </c>
      <c r="BK106" s="167">
        <f t="shared" ca="1" si="126"/>
        <v>14.945025641025641</v>
      </c>
      <c r="BL106" s="167">
        <f t="shared" ca="1" si="127"/>
        <v>24.598820512820513</v>
      </c>
      <c r="BM106" s="178"/>
      <c r="BN106" s="178"/>
      <c r="BO106" s="169">
        <f t="shared" ca="1" si="115"/>
        <v>51.499866666666662</v>
      </c>
      <c r="BP106" s="170">
        <f ca="1">INDEX('Cap based on indoor unit SZ'!$V$43:$V$58,MATCH(AE106,'Cap based on indoor unit SZ'!$U$43:$U$58))</f>
        <v>11.956020512820512</v>
      </c>
      <c r="BQ106" s="170">
        <f ca="1">INDEX('Cap based on indoor unit SZ'!$V$43:$V$58,MATCH(AF106,'Cap based on indoor unit SZ'!$U$43:$U$58))</f>
        <v>14.945025641025641</v>
      </c>
      <c r="BR106" s="170">
        <f ca="1">INDEX('Cap based on indoor unit SZ'!$V$43:$V$58,MATCH(AG106,'Cap based on indoor unit SZ'!$U$43:$U$58))</f>
        <v>24.598820512820513</v>
      </c>
      <c r="BS106" s="179"/>
      <c r="BT106" s="179"/>
      <c r="BU106" s="175">
        <v>9500</v>
      </c>
      <c r="BV106" s="175">
        <v>12500</v>
      </c>
      <c r="BW106" s="175">
        <v>19000</v>
      </c>
      <c r="BX106" s="179"/>
      <c r="BY106" s="179"/>
      <c r="BZ106" s="172">
        <f t="shared" ca="1" si="116"/>
        <v>54.937094017094019</v>
      </c>
      <c r="CA106" s="173">
        <f t="shared" ca="1" si="128"/>
        <v>12.677790927021697</v>
      </c>
      <c r="CB106" s="173">
        <f t="shared" ca="1" si="129"/>
        <v>16.903721236028929</v>
      </c>
      <c r="CC106" s="173">
        <f t="shared" ca="1" si="130"/>
        <v>25.355581854043393</v>
      </c>
      <c r="CD106" s="180"/>
      <c r="CE106" s="180"/>
      <c r="CF106" s="166">
        <f t="shared" ca="1" si="119"/>
        <v>34.233127949024549</v>
      </c>
      <c r="CG106" s="167">
        <f t="shared" ca="1" si="120"/>
        <v>8.2601319931527648</v>
      </c>
      <c r="CH106" s="167">
        <f t="shared" ca="1" si="120"/>
        <v>10.325164991440959</v>
      </c>
      <c r="CI106" s="167">
        <f t="shared" ca="1" si="120"/>
        <v>15.647830964430824</v>
      </c>
      <c r="CJ106" s="178"/>
      <c r="CK106" s="178"/>
    </row>
    <row r="107" spans="2:89">
      <c r="B107" s="10" t="s">
        <v>18</v>
      </c>
      <c r="AC107" s="164" t="s">
        <v>174</v>
      </c>
      <c r="AD107" s="164">
        <v>48</v>
      </c>
      <c r="AE107" s="165">
        <v>9</v>
      </c>
      <c r="AF107" s="165">
        <v>12</v>
      </c>
      <c r="AG107" s="165">
        <v>24</v>
      </c>
      <c r="AH107" s="164"/>
      <c r="AI107" s="164"/>
      <c r="AJ107" s="501"/>
      <c r="AK107" s="166">
        <f t="shared" ca="1" si="104"/>
        <v>47.080888888888879</v>
      </c>
      <c r="AL107" s="167">
        <f t="shared" ca="1" si="121"/>
        <v>9.6979999999999986</v>
      </c>
      <c r="AM107" s="167">
        <f t="shared" ca="1" si="122"/>
        <v>12.930666666666664</v>
      </c>
      <c r="AN107" s="167">
        <f t="shared" ca="1" si="123"/>
        <v>24.452222222222218</v>
      </c>
      <c r="AO107" s="178"/>
      <c r="AP107" s="178"/>
      <c r="AQ107" s="169">
        <f t="shared" ca="1" si="107"/>
        <v>47.99422222222222</v>
      </c>
      <c r="AR107" s="170">
        <f ca="1">INDEX('Cap based on indoor unit SZ'!$J$6:$J$21,MATCH(AE107,'Cap based on indoor unit SZ'!$I$6:$I$21))</f>
        <v>10.463111111111111</v>
      </c>
      <c r="AS107" s="170">
        <f ca="1">INDEX('Cap based on indoor unit SZ'!$J$6:$J$21,MATCH(AF107,'Cap based on indoor unit SZ'!$I$6:$I$21))</f>
        <v>13.078888888888891</v>
      </c>
      <c r="AT107" s="170">
        <f ca="1">INDEX('Cap based on indoor unit SZ'!$J$6:$J$21,MATCH(AG107,'Cap based on indoor unit SZ'!$I$6:$I$21))</f>
        <v>24.452222222222218</v>
      </c>
      <c r="AU107" s="179"/>
      <c r="AV107" s="179"/>
      <c r="AW107" s="169">
        <f t="shared" si="108"/>
        <v>42.5</v>
      </c>
      <c r="AX107" s="170">
        <v>9</v>
      </c>
      <c r="AY107" s="170">
        <v>12</v>
      </c>
      <c r="AZ107" s="170">
        <v>21.5</v>
      </c>
      <c r="BA107" s="179"/>
      <c r="BB107" s="179"/>
      <c r="BC107" s="172">
        <f t="shared" ca="1" si="109"/>
        <v>48.489999999999988</v>
      </c>
      <c r="BD107" s="173">
        <f t="shared" ca="1" si="124"/>
        <v>9.6979999999999986</v>
      </c>
      <c r="BE107" s="173">
        <f t="shared" ca="1" si="124"/>
        <v>12.930666666666664</v>
      </c>
      <c r="BF107" s="173">
        <f t="shared" ca="1" si="124"/>
        <v>25.861333333333327</v>
      </c>
      <c r="BG107" s="180"/>
      <c r="BH107" s="180"/>
      <c r="BI107" s="166">
        <f t="shared" ca="1" si="112"/>
        <v>54.937094017094012</v>
      </c>
      <c r="BJ107" s="167">
        <f t="shared" ca="1" si="125"/>
        <v>10.987418803418802</v>
      </c>
      <c r="BK107" s="167">
        <f t="shared" ca="1" si="126"/>
        <v>14.649891737891735</v>
      </c>
      <c r="BL107" s="167">
        <f t="shared" ca="1" si="127"/>
        <v>29.299783475783471</v>
      </c>
      <c r="BM107" s="178"/>
      <c r="BN107" s="178"/>
      <c r="BO107" s="169">
        <f t="shared" ca="1" si="115"/>
        <v>57.191046153846159</v>
      </c>
      <c r="BP107" s="170">
        <f ca="1">INDEX('Cap based on indoor unit SZ'!$V$43:$V$58,MATCH(AE107,'Cap based on indoor unit SZ'!$U$43:$U$58))</f>
        <v>11.956020512820512</v>
      </c>
      <c r="BQ107" s="170">
        <f ca="1">INDEX('Cap based on indoor unit SZ'!$V$43:$V$58,MATCH(AF107,'Cap based on indoor unit SZ'!$U$43:$U$58))</f>
        <v>14.945025641025641</v>
      </c>
      <c r="BR107" s="170">
        <f ca="1">INDEX('Cap based on indoor unit SZ'!$V$43:$V$58,MATCH(AG107,'Cap based on indoor unit SZ'!$U$43:$U$58))</f>
        <v>30.290000000000003</v>
      </c>
      <c r="BS107" s="179"/>
      <c r="BT107" s="179"/>
      <c r="BU107" s="175">
        <v>9500</v>
      </c>
      <c r="BV107" s="175">
        <v>12500</v>
      </c>
      <c r="BW107" s="175">
        <v>22000</v>
      </c>
      <c r="BX107" s="179"/>
      <c r="BY107" s="179"/>
      <c r="BZ107" s="172">
        <f t="shared" ca="1" si="116"/>
        <v>54.937094017094012</v>
      </c>
      <c r="CA107" s="173">
        <f t="shared" ca="1" si="128"/>
        <v>10.987418803418802</v>
      </c>
      <c r="CB107" s="173">
        <f t="shared" ca="1" si="129"/>
        <v>14.649891737891735</v>
      </c>
      <c r="CC107" s="173">
        <f t="shared" ca="1" si="130"/>
        <v>29.299783475783471</v>
      </c>
      <c r="CD107" s="180"/>
      <c r="CE107" s="180"/>
      <c r="CF107" s="166">
        <f t="shared" ca="1" si="119"/>
        <v>37.168137893919742</v>
      </c>
      <c r="CG107" s="167">
        <f t="shared" ca="1" si="120"/>
        <v>7.6561129112475532</v>
      </c>
      <c r="CH107" s="167">
        <f t="shared" ca="1" si="120"/>
        <v>10.208150548330069</v>
      </c>
      <c r="CI107" s="167">
        <f t="shared" ca="1" si="120"/>
        <v>19.30387443434212</v>
      </c>
      <c r="CJ107" s="178"/>
      <c r="CK107" s="178"/>
    </row>
    <row r="108" spans="2:89">
      <c r="B108" s="10" t="s">
        <v>19</v>
      </c>
      <c r="AC108" s="164" t="s">
        <v>173</v>
      </c>
      <c r="AD108" s="164">
        <v>48</v>
      </c>
      <c r="AE108" s="165">
        <v>9</v>
      </c>
      <c r="AF108" s="165">
        <v>18</v>
      </c>
      <c r="AG108" s="165">
        <v>18</v>
      </c>
      <c r="AH108" s="164"/>
      <c r="AI108" s="164"/>
      <c r="AJ108" s="501"/>
      <c r="AK108" s="166">
        <f t="shared" ca="1" si="104"/>
        <v>48.489999999999995</v>
      </c>
      <c r="AL108" s="167">
        <f t="shared" ca="1" si="121"/>
        <v>9.6979999999999986</v>
      </c>
      <c r="AM108" s="167">
        <f t="shared" ca="1" si="122"/>
        <v>19.395999999999997</v>
      </c>
      <c r="AN108" s="167">
        <f t="shared" ca="1" si="123"/>
        <v>19.395999999999997</v>
      </c>
      <c r="AO108" s="178"/>
      <c r="AP108" s="178"/>
      <c r="AQ108" s="169">
        <f t="shared" ca="1" si="107"/>
        <v>50.105333333333334</v>
      </c>
      <c r="AR108" s="170">
        <f ca="1">INDEX('Cap based on indoor unit SZ'!$J$6:$J$21,MATCH(AE108,'Cap based on indoor unit SZ'!$I$6:$I$21))</f>
        <v>10.463111111111111</v>
      </c>
      <c r="AS108" s="170">
        <f ca="1">INDEX('Cap based on indoor unit SZ'!$J$6:$J$21,MATCH(AF108,'Cap based on indoor unit SZ'!$I$6:$I$21))</f>
        <v>19.821111111111112</v>
      </c>
      <c r="AT108" s="170">
        <f ca="1">INDEX('Cap based on indoor unit SZ'!$J$6:$J$21,MATCH(AG108,'Cap based on indoor unit SZ'!$I$6:$I$21))</f>
        <v>19.821111111111112</v>
      </c>
      <c r="AU108" s="179"/>
      <c r="AV108" s="179"/>
      <c r="AW108" s="169">
        <f t="shared" si="108"/>
        <v>45</v>
      </c>
      <c r="AX108" s="170">
        <v>9</v>
      </c>
      <c r="AY108" s="170">
        <v>18</v>
      </c>
      <c r="AZ108" s="170">
        <v>18</v>
      </c>
      <c r="BA108" s="179"/>
      <c r="BB108" s="179"/>
      <c r="BC108" s="172">
        <f t="shared" ca="1" si="109"/>
        <v>48.489999999999995</v>
      </c>
      <c r="BD108" s="173">
        <f t="shared" ca="1" si="124"/>
        <v>9.6979999999999986</v>
      </c>
      <c r="BE108" s="173">
        <f t="shared" ca="1" si="124"/>
        <v>19.395999999999997</v>
      </c>
      <c r="BF108" s="173">
        <f t="shared" ca="1" si="124"/>
        <v>19.395999999999997</v>
      </c>
      <c r="BG108" s="180"/>
      <c r="BH108" s="180"/>
      <c r="BI108" s="166">
        <f t="shared" ca="1" si="112"/>
        <v>54.937094017094005</v>
      </c>
      <c r="BJ108" s="167">
        <f t="shared" ca="1" si="125"/>
        <v>10.987418803418802</v>
      </c>
      <c r="BK108" s="167">
        <f t="shared" ca="1" si="126"/>
        <v>21.974837606837603</v>
      </c>
      <c r="BL108" s="167">
        <f t="shared" ca="1" si="127"/>
        <v>21.974837606837603</v>
      </c>
      <c r="BM108" s="178"/>
      <c r="BN108" s="178"/>
      <c r="BO108" s="169">
        <f t="shared" ca="1" si="115"/>
        <v>61.153661538461535</v>
      </c>
      <c r="BP108" s="170">
        <f ca="1">INDEX('Cap based on indoor unit SZ'!$V$43:$V$58,MATCH(AE108,'Cap based on indoor unit SZ'!$U$43:$U$58))</f>
        <v>11.956020512820512</v>
      </c>
      <c r="BQ108" s="170">
        <f ca="1">INDEX('Cap based on indoor unit SZ'!$V$43:$V$58,MATCH(AF108,'Cap based on indoor unit SZ'!$U$43:$U$58))</f>
        <v>24.598820512820513</v>
      </c>
      <c r="BR108" s="170">
        <f ca="1">INDEX('Cap based on indoor unit SZ'!$V$43:$V$58,MATCH(AG108,'Cap based on indoor unit SZ'!$U$43:$U$58))</f>
        <v>24.598820512820513</v>
      </c>
      <c r="BS108" s="179"/>
      <c r="BT108" s="179"/>
      <c r="BU108" s="175">
        <v>9500</v>
      </c>
      <c r="BV108" s="175">
        <v>18500</v>
      </c>
      <c r="BW108" s="175">
        <v>18500</v>
      </c>
      <c r="BX108" s="179"/>
      <c r="BY108" s="179"/>
      <c r="BZ108" s="172">
        <f t="shared" ca="1" si="116"/>
        <v>54.937094017094005</v>
      </c>
      <c r="CA108" s="173">
        <f t="shared" ca="1" si="128"/>
        <v>10.987418803418802</v>
      </c>
      <c r="CB108" s="173">
        <f t="shared" ca="1" si="129"/>
        <v>21.974837606837603</v>
      </c>
      <c r="CC108" s="173">
        <f t="shared" ca="1" si="130"/>
        <v>21.974837606837603</v>
      </c>
      <c r="CD108" s="180"/>
      <c r="CE108" s="180"/>
      <c r="CF108" s="166">
        <f t="shared" ca="1" si="119"/>
        <v>38.280564556237763</v>
      </c>
      <c r="CG108" s="167">
        <f t="shared" ca="1" si="120"/>
        <v>7.6561129112475532</v>
      </c>
      <c r="CH108" s="167">
        <f t="shared" ca="1" si="120"/>
        <v>15.312225822495106</v>
      </c>
      <c r="CI108" s="167">
        <f t="shared" ca="1" si="120"/>
        <v>15.312225822495106</v>
      </c>
      <c r="CJ108" s="178"/>
      <c r="CK108" s="178"/>
    </row>
    <row r="109" spans="2:89">
      <c r="B109" s="10" t="s">
        <v>20</v>
      </c>
      <c r="AC109" s="164" t="s">
        <v>172</v>
      </c>
      <c r="AD109" s="164">
        <v>48</v>
      </c>
      <c r="AE109" s="165">
        <v>9</v>
      </c>
      <c r="AF109" s="165">
        <v>18</v>
      </c>
      <c r="AG109" s="165">
        <v>24</v>
      </c>
      <c r="AH109" s="164"/>
      <c r="AI109" s="164"/>
      <c r="AJ109" s="501"/>
      <c r="AK109" s="166">
        <f t="shared" ca="1" si="104"/>
        <v>48.489999999999995</v>
      </c>
      <c r="AL109" s="167">
        <f t="shared" ca="1" si="121"/>
        <v>8.5570588235294114</v>
      </c>
      <c r="AM109" s="167">
        <f t="shared" ca="1" si="122"/>
        <v>17.114117647058823</v>
      </c>
      <c r="AN109" s="167">
        <f t="shared" ca="1" si="123"/>
        <v>22.818823529411763</v>
      </c>
      <c r="AO109" s="178"/>
      <c r="AP109" s="178"/>
      <c r="AQ109" s="169">
        <f t="shared" ca="1" si="107"/>
        <v>54.736444444444444</v>
      </c>
      <c r="AR109" s="170">
        <f ca="1">INDEX('Cap based on indoor unit SZ'!$J$6:$J$21,MATCH(AE109,'Cap based on indoor unit SZ'!$I$6:$I$21))</f>
        <v>10.463111111111111</v>
      </c>
      <c r="AS109" s="170">
        <f ca="1">INDEX('Cap based on indoor unit SZ'!$J$6:$J$21,MATCH(AF109,'Cap based on indoor unit SZ'!$I$6:$I$21))</f>
        <v>19.821111111111112</v>
      </c>
      <c r="AT109" s="170">
        <f ca="1">INDEX('Cap based on indoor unit SZ'!$J$6:$J$21,MATCH(AG109,'Cap based on indoor unit SZ'!$I$6:$I$21))</f>
        <v>24.452222222222218</v>
      </c>
      <c r="AU109" s="179"/>
      <c r="AV109" s="179"/>
      <c r="AW109" s="169">
        <f t="shared" si="108"/>
        <v>46</v>
      </c>
      <c r="AX109" s="170">
        <v>8.5</v>
      </c>
      <c r="AY109" s="170">
        <v>16</v>
      </c>
      <c r="AZ109" s="170">
        <v>21.5</v>
      </c>
      <c r="BA109" s="179"/>
      <c r="BB109" s="179"/>
      <c r="BC109" s="172">
        <f t="shared" ca="1" si="109"/>
        <v>48.489999999999995</v>
      </c>
      <c r="BD109" s="173">
        <f t="shared" ca="1" si="124"/>
        <v>8.5570588235294114</v>
      </c>
      <c r="BE109" s="173">
        <f t="shared" ca="1" si="124"/>
        <v>17.114117647058823</v>
      </c>
      <c r="BF109" s="173">
        <f t="shared" ca="1" si="124"/>
        <v>22.818823529411763</v>
      </c>
      <c r="BG109" s="180"/>
      <c r="BH109" s="180"/>
      <c r="BI109" s="166">
        <f t="shared" ca="1" si="112"/>
        <v>54.937094017094012</v>
      </c>
      <c r="BJ109" s="167">
        <f t="shared" ca="1" si="125"/>
        <v>9.694781297134238</v>
      </c>
      <c r="BK109" s="167">
        <f t="shared" ca="1" si="126"/>
        <v>19.389562594268476</v>
      </c>
      <c r="BL109" s="167">
        <f t="shared" ca="1" si="127"/>
        <v>25.852750125691301</v>
      </c>
      <c r="BM109" s="178"/>
      <c r="BN109" s="178"/>
      <c r="BO109" s="169">
        <f t="shared" ca="1" si="115"/>
        <v>66.844841025641031</v>
      </c>
      <c r="BP109" s="170">
        <f ca="1">INDEX('Cap based on indoor unit SZ'!$V$43:$V$58,MATCH(AE109,'Cap based on indoor unit SZ'!$U$43:$U$58))</f>
        <v>11.956020512820512</v>
      </c>
      <c r="BQ109" s="170">
        <f ca="1">INDEX('Cap based on indoor unit SZ'!$V$43:$V$58,MATCH(AF109,'Cap based on indoor unit SZ'!$U$43:$U$58))</f>
        <v>24.598820512820513</v>
      </c>
      <c r="BR109" s="170">
        <f ca="1">INDEX('Cap based on indoor unit SZ'!$V$43:$V$58,MATCH(AG109,'Cap based on indoor unit SZ'!$U$43:$U$58))</f>
        <v>30.290000000000003</v>
      </c>
      <c r="BS109" s="179"/>
      <c r="BT109" s="179"/>
      <c r="BU109" s="175">
        <v>9500</v>
      </c>
      <c r="BV109" s="175">
        <v>16500</v>
      </c>
      <c r="BW109" s="175">
        <v>22000</v>
      </c>
      <c r="BX109" s="179"/>
      <c r="BY109" s="179"/>
      <c r="BZ109" s="172">
        <f t="shared" ca="1" si="116"/>
        <v>54.937094017094012</v>
      </c>
      <c r="CA109" s="173">
        <f t="shared" ca="1" si="128"/>
        <v>9.694781297134238</v>
      </c>
      <c r="CB109" s="173">
        <f t="shared" ca="1" si="129"/>
        <v>19.389562594268476</v>
      </c>
      <c r="CC109" s="173">
        <f t="shared" ca="1" si="130"/>
        <v>25.852750125691301</v>
      </c>
      <c r="CD109" s="180"/>
      <c r="CE109" s="180"/>
      <c r="CF109" s="166">
        <f t="shared" ca="1" si="119"/>
        <v>38.280564556237763</v>
      </c>
      <c r="CG109" s="167">
        <f t="shared" ca="1" si="120"/>
        <v>6.7553937452184298</v>
      </c>
      <c r="CH109" s="167">
        <f t="shared" ca="1" si="120"/>
        <v>13.51078749043686</v>
      </c>
      <c r="CI109" s="167">
        <f t="shared" ca="1" si="120"/>
        <v>18.014383320582478</v>
      </c>
      <c r="CJ109" s="178"/>
      <c r="CK109" s="178"/>
    </row>
    <row r="110" spans="2:89">
      <c r="B110" s="10" t="s">
        <v>21</v>
      </c>
      <c r="AC110" s="164" t="s">
        <v>171</v>
      </c>
      <c r="AD110" s="164">
        <v>48</v>
      </c>
      <c r="AE110" s="165">
        <v>9</v>
      </c>
      <c r="AF110" s="165">
        <v>24</v>
      </c>
      <c r="AG110" s="165">
        <v>24</v>
      </c>
      <c r="AH110" s="164"/>
      <c r="AI110" s="164"/>
      <c r="AJ110" s="501"/>
      <c r="AK110" s="166">
        <f t="shared" ca="1" si="104"/>
        <v>48.489999999999995</v>
      </c>
      <c r="AL110" s="167">
        <f t="shared" ca="1" si="121"/>
        <v>7.656315789473684</v>
      </c>
      <c r="AM110" s="167">
        <f t="shared" ca="1" si="122"/>
        <v>20.416842105263157</v>
      </c>
      <c r="AN110" s="167">
        <f t="shared" ca="1" si="123"/>
        <v>20.416842105263157</v>
      </c>
      <c r="AO110" s="178"/>
      <c r="AP110" s="178"/>
      <c r="AQ110" s="169">
        <f t="shared" ca="1" si="107"/>
        <v>59.367555555555548</v>
      </c>
      <c r="AR110" s="170">
        <f ca="1">INDEX('Cap based on indoor unit SZ'!$J$6:$J$21,MATCH(AE110,'Cap based on indoor unit SZ'!$I$6:$I$21))</f>
        <v>10.463111111111111</v>
      </c>
      <c r="AS110" s="170">
        <f ca="1">INDEX('Cap based on indoor unit SZ'!$J$6:$J$21,MATCH(AF110,'Cap based on indoor unit SZ'!$I$6:$I$21))</f>
        <v>24.452222222222218</v>
      </c>
      <c r="AT110" s="170">
        <f ca="1">INDEX('Cap based on indoor unit SZ'!$J$6:$J$21,MATCH(AG110,'Cap based on indoor unit SZ'!$I$6:$I$21))</f>
        <v>24.452222222222218</v>
      </c>
      <c r="AU110" s="179"/>
      <c r="AV110" s="179"/>
      <c r="AW110" s="169">
        <f t="shared" si="108"/>
        <v>48</v>
      </c>
      <c r="AX110" s="170">
        <v>8</v>
      </c>
      <c r="AY110" s="170">
        <v>20</v>
      </c>
      <c r="AZ110" s="170">
        <v>20</v>
      </c>
      <c r="BA110" s="179"/>
      <c r="BB110" s="179"/>
      <c r="BC110" s="172">
        <f t="shared" ca="1" si="109"/>
        <v>48.489999999999995</v>
      </c>
      <c r="BD110" s="173">
        <f t="shared" ca="1" si="124"/>
        <v>7.656315789473684</v>
      </c>
      <c r="BE110" s="173">
        <f t="shared" ca="1" si="124"/>
        <v>20.416842105263157</v>
      </c>
      <c r="BF110" s="173">
        <f t="shared" ca="1" si="124"/>
        <v>20.416842105263157</v>
      </c>
      <c r="BG110" s="180"/>
      <c r="BH110" s="180"/>
      <c r="BI110" s="166">
        <f t="shared" ca="1" si="112"/>
        <v>54.937094017094012</v>
      </c>
      <c r="BJ110" s="167">
        <f t="shared" ca="1" si="125"/>
        <v>8.6742780026990545</v>
      </c>
      <c r="BK110" s="167">
        <f t="shared" ca="1" si="126"/>
        <v>23.131408007197479</v>
      </c>
      <c r="BL110" s="167">
        <f t="shared" ca="1" si="127"/>
        <v>23.131408007197479</v>
      </c>
      <c r="BM110" s="178"/>
      <c r="BN110" s="178"/>
      <c r="BO110" s="169">
        <f t="shared" ca="1" si="115"/>
        <v>72.536020512820514</v>
      </c>
      <c r="BP110" s="170">
        <f ca="1">INDEX('Cap based on indoor unit SZ'!$V$43:$V$58,MATCH(AE110,'Cap based on indoor unit SZ'!$U$43:$U$58))</f>
        <v>11.956020512820512</v>
      </c>
      <c r="BQ110" s="170">
        <f ca="1">INDEX('Cap based on indoor unit SZ'!$V$43:$V$58,MATCH(AF110,'Cap based on indoor unit SZ'!$U$43:$U$58))</f>
        <v>30.290000000000003</v>
      </c>
      <c r="BR110" s="170">
        <f ca="1">INDEX('Cap based on indoor unit SZ'!$V$43:$V$58,MATCH(AG110,'Cap based on indoor unit SZ'!$U$43:$U$58))</f>
        <v>30.290000000000003</v>
      </c>
      <c r="BS110" s="179"/>
      <c r="BT110" s="179"/>
      <c r="BU110" s="175">
        <v>8500</v>
      </c>
      <c r="BV110" s="175">
        <v>21000</v>
      </c>
      <c r="BW110" s="175">
        <v>21000</v>
      </c>
      <c r="BX110" s="179"/>
      <c r="BY110" s="179"/>
      <c r="BZ110" s="172">
        <f t="shared" ca="1" si="116"/>
        <v>54.937094017094012</v>
      </c>
      <c r="CA110" s="173">
        <f t="shared" ca="1" si="128"/>
        <v>8.6742780026990545</v>
      </c>
      <c r="CB110" s="173">
        <f t="shared" ca="1" si="129"/>
        <v>23.131408007197479</v>
      </c>
      <c r="CC110" s="173">
        <f t="shared" ca="1" si="130"/>
        <v>23.131408007197479</v>
      </c>
      <c r="CD110" s="180"/>
      <c r="CE110" s="180"/>
      <c r="CF110" s="166">
        <f t="shared" ca="1" si="119"/>
        <v>38.280564556237771</v>
      </c>
      <c r="CG110" s="167">
        <f t="shared" ca="1" si="120"/>
        <v>6.0442996667743847</v>
      </c>
      <c r="CH110" s="167">
        <f t="shared" ca="1" si="120"/>
        <v>16.118132444731692</v>
      </c>
      <c r="CI110" s="167">
        <f t="shared" ca="1" si="120"/>
        <v>16.118132444731692</v>
      </c>
      <c r="CJ110" s="178"/>
      <c r="CK110" s="178"/>
    </row>
    <row r="111" spans="2:89">
      <c r="B111" s="10" t="s">
        <v>22</v>
      </c>
      <c r="AC111" s="164" t="s">
        <v>170</v>
      </c>
      <c r="AD111" s="164">
        <v>48</v>
      </c>
      <c r="AE111" s="165">
        <v>12</v>
      </c>
      <c r="AF111" s="165">
        <v>12</v>
      </c>
      <c r="AG111" s="165">
        <v>12</v>
      </c>
      <c r="AH111" s="164"/>
      <c r="AI111" s="164"/>
      <c r="AJ111" s="501"/>
      <c r="AK111" s="166">
        <f t="shared" ca="1" si="104"/>
        <v>39.236666666666672</v>
      </c>
      <c r="AL111" s="167">
        <f t="shared" ca="1" si="121"/>
        <v>13.078888888888891</v>
      </c>
      <c r="AM111" s="167">
        <f t="shared" ca="1" si="122"/>
        <v>13.078888888888891</v>
      </c>
      <c r="AN111" s="167">
        <f t="shared" ca="1" si="123"/>
        <v>13.078888888888891</v>
      </c>
      <c r="AO111" s="178"/>
      <c r="AP111" s="178"/>
      <c r="AQ111" s="169">
        <f t="shared" ca="1" si="107"/>
        <v>39.236666666666672</v>
      </c>
      <c r="AR111" s="170">
        <f ca="1">INDEX('Cap based on indoor unit SZ'!$J$6:$J$21,MATCH(AE111,'Cap based on indoor unit SZ'!$I$6:$I$21))</f>
        <v>13.078888888888891</v>
      </c>
      <c r="AS111" s="170">
        <f ca="1">INDEX('Cap based on indoor unit SZ'!$J$6:$J$21,MATCH(AF111,'Cap based on indoor unit SZ'!$I$6:$I$21))</f>
        <v>13.078888888888891</v>
      </c>
      <c r="AT111" s="170">
        <f ca="1">INDEX('Cap based on indoor unit SZ'!$J$6:$J$21,MATCH(AG111,'Cap based on indoor unit SZ'!$I$6:$I$21))</f>
        <v>13.078888888888891</v>
      </c>
      <c r="AU111" s="179"/>
      <c r="AV111" s="179"/>
      <c r="AW111" s="169">
        <f t="shared" si="108"/>
        <v>36</v>
      </c>
      <c r="AX111" s="170">
        <v>12</v>
      </c>
      <c r="AY111" s="170">
        <v>12</v>
      </c>
      <c r="AZ111" s="170">
        <v>12</v>
      </c>
      <c r="BA111" s="179"/>
      <c r="BB111" s="179"/>
      <c r="BC111" s="172">
        <f t="shared" ca="1" si="109"/>
        <v>48.489999999999995</v>
      </c>
      <c r="BD111" s="173">
        <f t="shared" ca="1" si="124"/>
        <v>16.16333333333333</v>
      </c>
      <c r="BE111" s="173">
        <f t="shared" ca="1" si="124"/>
        <v>16.16333333333333</v>
      </c>
      <c r="BF111" s="173">
        <f t="shared" ca="1" si="124"/>
        <v>16.16333333333333</v>
      </c>
      <c r="BG111" s="180"/>
      <c r="BH111" s="180"/>
      <c r="BI111" s="166">
        <f t="shared" ca="1" si="112"/>
        <v>44.835076923076926</v>
      </c>
      <c r="BJ111" s="167">
        <f t="shared" ca="1" si="125"/>
        <v>14.945025641025641</v>
      </c>
      <c r="BK111" s="167">
        <f t="shared" ca="1" si="126"/>
        <v>14.945025641025641</v>
      </c>
      <c r="BL111" s="167">
        <f t="shared" ca="1" si="127"/>
        <v>14.945025641025641</v>
      </c>
      <c r="BM111" s="178"/>
      <c r="BN111" s="178"/>
      <c r="BO111" s="169">
        <f t="shared" ca="1" si="115"/>
        <v>44.835076923076926</v>
      </c>
      <c r="BP111" s="170">
        <f ca="1">INDEX('Cap based on indoor unit SZ'!$V$43:$V$58,MATCH(AE111,'Cap based on indoor unit SZ'!$U$43:$U$58))</f>
        <v>14.945025641025641</v>
      </c>
      <c r="BQ111" s="170">
        <f ca="1">INDEX('Cap based on indoor unit SZ'!$V$43:$V$58,MATCH(AF111,'Cap based on indoor unit SZ'!$U$43:$U$58))</f>
        <v>14.945025641025641</v>
      </c>
      <c r="BR111" s="170">
        <f ca="1">INDEX('Cap based on indoor unit SZ'!$V$43:$V$58,MATCH(AG111,'Cap based on indoor unit SZ'!$U$43:$U$58))</f>
        <v>14.945025641025641</v>
      </c>
      <c r="BS111" s="179"/>
      <c r="BT111" s="179"/>
      <c r="BU111" s="175">
        <v>13000</v>
      </c>
      <c r="BV111" s="175">
        <v>13000</v>
      </c>
      <c r="BW111" s="175">
        <v>13000</v>
      </c>
      <c r="BX111" s="179"/>
      <c r="BY111" s="179"/>
      <c r="BZ111" s="172">
        <f t="shared" ca="1" si="116"/>
        <v>54.937094017094012</v>
      </c>
      <c r="CA111" s="173">
        <f t="shared" ca="1" si="128"/>
        <v>18.312364672364669</v>
      </c>
      <c r="CB111" s="173">
        <f t="shared" ca="1" si="129"/>
        <v>18.312364672364669</v>
      </c>
      <c r="CC111" s="173">
        <f t="shared" ca="1" si="130"/>
        <v>18.312364672364669</v>
      </c>
      <c r="CD111" s="180"/>
      <c r="CE111" s="180"/>
      <c r="CF111" s="166">
        <f t="shared" ca="1" si="119"/>
        <v>30.975494974322878</v>
      </c>
      <c r="CG111" s="167">
        <f t="shared" ca="1" si="120"/>
        <v>10.325164991440959</v>
      </c>
      <c r="CH111" s="167">
        <f t="shared" ca="1" si="120"/>
        <v>10.325164991440959</v>
      </c>
      <c r="CI111" s="167">
        <f t="shared" ca="1" si="120"/>
        <v>10.325164991440959</v>
      </c>
      <c r="CJ111" s="178"/>
      <c r="CK111" s="178"/>
    </row>
    <row r="112" spans="2:89">
      <c r="B112" s="10" t="s">
        <v>23</v>
      </c>
      <c r="AC112" s="164" t="s">
        <v>169</v>
      </c>
      <c r="AD112" s="164">
        <v>48</v>
      </c>
      <c r="AE112" s="165">
        <v>12</v>
      </c>
      <c r="AF112" s="165">
        <v>12</v>
      </c>
      <c r="AG112" s="165">
        <v>18</v>
      </c>
      <c r="AH112" s="164"/>
      <c r="AI112" s="164"/>
      <c r="AJ112" s="501"/>
      <c r="AK112" s="166">
        <f t="shared" ca="1" si="104"/>
        <v>45.978888888888889</v>
      </c>
      <c r="AL112" s="167">
        <f t="shared" ca="1" si="121"/>
        <v>13.078888888888891</v>
      </c>
      <c r="AM112" s="167">
        <f t="shared" ca="1" si="122"/>
        <v>13.078888888888891</v>
      </c>
      <c r="AN112" s="167">
        <f t="shared" ca="1" si="123"/>
        <v>19.821111111111112</v>
      </c>
      <c r="AO112" s="178"/>
      <c r="AP112" s="178"/>
      <c r="AQ112" s="169">
        <f t="shared" ca="1" si="107"/>
        <v>45.978888888888889</v>
      </c>
      <c r="AR112" s="170">
        <f ca="1">INDEX('Cap based on indoor unit SZ'!$J$6:$J$21,MATCH(AE112,'Cap based on indoor unit SZ'!$I$6:$I$21))</f>
        <v>13.078888888888891</v>
      </c>
      <c r="AS112" s="170">
        <f ca="1">INDEX('Cap based on indoor unit SZ'!$J$6:$J$21,MATCH(AF112,'Cap based on indoor unit SZ'!$I$6:$I$21))</f>
        <v>13.078888888888891</v>
      </c>
      <c r="AT112" s="170">
        <f ca="1">INDEX('Cap based on indoor unit SZ'!$J$6:$J$21,MATCH(AG112,'Cap based on indoor unit SZ'!$I$6:$I$21))</f>
        <v>19.821111111111112</v>
      </c>
      <c r="AU112" s="179"/>
      <c r="AV112" s="179"/>
      <c r="AW112" s="169">
        <f t="shared" si="108"/>
        <v>41</v>
      </c>
      <c r="AX112" s="170">
        <v>12</v>
      </c>
      <c r="AY112" s="170">
        <v>12</v>
      </c>
      <c r="AZ112" s="170">
        <v>17</v>
      </c>
      <c r="BA112" s="179"/>
      <c r="BB112" s="179"/>
      <c r="BC112" s="172">
        <f t="shared" ca="1" si="109"/>
        <v>48.489999999999995</v>
      </c>
      <c r="BD112" s="173">
        <f t="shared" ca="1" si="124"/>
        <v>13.854285714285712</v>
      </c>
      <c r="BE112" s="173">
        <f t="shared" ca="1" si="124"/>
        <v>13.854285714285712</v>
      </c>
      <c r="BF112" s="173">
        <f t="shared" ca="1" si="124"/>
        <v>20.78142857142857</v>
      </c>
      <c r="BG112" s="180"/>
      <c r="BH112" s="180"/>
      <c r="BI112" s="166">
        <f t="shared" ca="1" si="112"/>
        <v>53.434520146520143</v>
      </c>
      <c r="BJ112" s="167">
        <f t="shared" ca="1" si="125"/>
        <v>14.945025641025641</v>
      </c>
      <c r="BK112" s="167">
        <f t="shared" ca="1" si="126"/>
        <v>14.945025641025641</v>
      </c>
      <c r="BL112" s="167">
        <f t="shared" ca="1" si="127"/>
        <v>23.544468864468865</v>
      </c>
      <c r="BM112" s="178"/>
      <c r="BN112" s="178"/>
      <c r="BO112" s="169">
        <f t="shared" ca="1" si="115"/>
        <v>54.488871794871798</v>
      </c>
      <c r="BP112" s="170">
        <f ca="1">INDEX('Cap based on indoor unit SZ'!$V$43:$V$58,MATCH(AE112,'Cap based on indoor unit SZ'!$U$43:$U$58))</f>
        <v>14.945025641025641</v>
      </c>
      <c r="BQ112" s="170">
        <f ca="1">INDEX('Cap based on indoor unit SZ'!$V$43:$V$58,MATCH(AF112,'Cap based on indoor unit SZ'!$U$43:$U$58))</f>
        <v>14.945025641025641</v>
      </c>
      <c r="BR112" s="170">
        <f ca="1">INDEX('Cap based on indoor unit SZ'!$V$43:$V$58,MATCH(AG112,'Cap based on indoor unit SZ'!$U$43:$U$58))</f>
        <v>24.598820512820513</v>
      </c>
      <c r="BS112" s="179"/>
      <c r="BT112" s="179"/>
      <c r="BU112" s="175">
        <v>12500</v>
      </c>
      <c r="BV112" s="175">
        <v>12500</v>
      </c>
      <c r="BW112" s="175">
        <v>18000</v>
      </c>
      <c r="BX112" s="179"/>
      <c r="BY112" s="179"/>
      <c r="BZ112" s="172">
        <f t="shared" ca="1" si="116"/>
        <v>54.937094017094012</v>
      </c>
      <c r="CA112" s="173">
        <f t="shared" ca="1" si="128"/>
        <v>15.696312576312575</v>
      </c>
      <c r="CB112" s="173">
        <f t="shared" ca="1" si="129"/>
        <v>15.696312576312575</v>
      </c>
      <c r="CC112" s="173">
        <f t="shared" ca="1" si="130"/>
        <v>23.544468864468865</v>
      </c>
      <c r="CD112" s="180"/>
      <c r="CE112" s="180"/>
      <c r="CF112" s="166">
        <f t="shared" ca="1" si="119"/>
        <v>36.298160947312738</v>
      </c>
      <c r="CG112" s="167">
        <f t="shared" ca="1" si="120"/>
        <v>10.325164991440959</v>
      </c>
      <c r="CH112" s="167">
        <f t="shared" ca="1" si="120"/>
        <v>10.325164991440959</v>
      </c>
      <c r="CI112" s="167">
        <f t="shared" ca="1" si="120"/>
        <v>15.647830964430824</v>
      </c>
      <c r="CJ112" s="178"/>
      <c r="CK112" s="178"/>
    </row>
    <row r="113" spans="2:89">
      <c r="B113" s="10"/>
      <c r="AC113" s="164" t="s">
        <v>168</v>
      </c>
      <c r="AD113" s="164">
        <v>48</v>
      </c>
      <c r="AE113" s="165">
        <v>12</v>
      </c>
      <c r="AF113" s="165">
        <v>12</v>
      </c>
      <c r="AG113" s="165">
        <v>24</v>
      </c>
      <c r="AH113" s="164"/>
      <c r="AI113" s="164"/>
      <c r="AJ113" s="501"/>
      <c r="AK113" s="166">
        <f t="shared" ca="1" si="104"/>
        <v>48.489999999999995</v>
      </c>
      <c r="AL113" s="167">
        <f t="shared" ca="1" si="121"/>
        <v>12.122499999999999</v>
      </c>
      <c r="AM113" s="167">
        <f t="shared" ca="1" si="122"/>
        <v>12.122499999999999</v>
      </c>
      <c r="AN113" s="167">
        <f t="shared" ca="1" si="123"/>
        <v>24.244999999999997</v>
      </c>
      <c r="AO113" s="178"/>
      <c r="AP113" s="178"/>
      <c r="AQ113" s="169">
        <f t="shared" ca="1" si="107"/>
        <v>50.61</v>
      </c>
      <c r="AR113" s="170">
        <f ca="1">INDEX('Cap based on indoor unit SZ'!$J$6:$J$21,MATCH(AE113,'Cap based on indoor unit SZ'!$I$6:$I$21))</f>
        <v>13.078888888888891</v>
      </c>
      <c r="AS113" s="170">
        <f ca="1">INDEX('Cap based on indoor unit SZ'!$J$6:$J$21,MATCH(AF113,'Cap based on indoor unit SZ'!$I$6:$I$21))</f>
        <v>13.078888888888891</v>
      </c>
      <c r="AT113" s="170">
        <f ca="1">INDEX('Cap based on indoor unit SZ'!$J$6:$J$21,MATCH(AG113,'Cap based on indoor unit SZ'!$I$6:$I$21))</f>
        <v>24.452222222222218</v>
      </c>
      <c r="AU113" s="179"/>
      <c r="AV113" s="179"/>
      <c r="AW113" s="169">
        <f t="shared" si="108"/>
        <v>44</v>
      </c>
      <c r="AX113" s="170">
        <v>11</v>
      </c>
      <c r="AY113" s="170">
        <v>11</v>
      </c>
      <c r="AZ113" s="170">
        <v>22</v>
      </c>
      <c r="BA113" s="179"/>
      <c r="BB113" s="179"/>
      <c r="BC113" s="172">
        <f t="shared" ca="1" si="109"/>
        <v>48.489999999999995</v>
      </c>
      <c r="BD113" s="173">
        <f t="shared" ca="1" si="124"/>
        <v>12.122499999999999</v>
      </c>
      <c r="BE113" s="173">
        <f t="shared" ca="1" si="124"/>
        <v>12.122499999999999</v>
      </c>
      <c r="BF113" s="173">
        <f t="shared" ca="1" si="124"/>
        <v>24.244999999999997</v>
      </c>
      <c r="BG113" s="180"/>
      <c r="BH113" s="180"/>
      <c r="BI113" s="166">
        <f t="shared" ca="1" si="112"/>
        <v>54.937094017094012</v>
      </c>
      <c r="BJ113" s="167">
        <f t="shared" ca="1" si="125"/>
        <v>13.734273504273503</v>
      </c>
      <c r="BK113" s="167">
        <f t="shared" ca="1" si="126"/>
        <v>13.734273504273503</v>
      </c>
      <c r="BL113" s="167">
        <f t="shared" ca="1" si="127"/>
        <v>27.468547008547006</v>
      </c>
      <c r="BM113" s="178"/>
      <c r="BN113" s="178"/>
      <c r="BO113" s="169">
        <f t="shared" ca="1" si="115"/>
        <v>60.180051282051281</v>
      </c>
      <c r="BP113" s="170">
        <f ca="1">INDEX('Cap based on indoor unit SZ'!$V$43:$V$58,MATCH(AE113,'Cap based on indoor unit SZ'!$U$43:$U$58))</f>
        <v>14.945025641025641</v>
      </c>
      <c r="BQ113" s="170">
        <f ca="1">INDEX('Cap based on indoor unit SZ'!$V$43:$V$58,MATCH(AF113,'Cap based on indoor unit SZ'!$U$43:$U$58))</f>
        <v>14.945025641025641</v>
      </c>
      <c r="BR113" s="170">
        <f ca="1">INDEX('Cap based on indoor unit SZ'!$V$43:$V$58,MATCH(AG113,'Cap based on indoor unit SZ'!$U$43:$U$58))</f>
        <v>30.290000000000003</v>
      </c>
      <c r="BS113" s="179"/>
      <c r="BT113" s="179"/>
      <c r="BU113" s="175">
        <v>11500</v>
      </c>
      <c r="BV113" s="175">
        <v>11500</v>
      </c>
      <c r="BW113" s="175">
        <v>23000</v>
      </c>
      <c r="BX113" s="179"/>
      <c r="BY113" s="179"/>
      <c r="BZ113" s="172">
        <f t="shared" ca="1" si="116"/>
        <v>54.937094017094012</v>
      </c>
      <c r="CA113" s="173">
        <f t="shared" ca="1" si="128"/>
        <v>13.734273504273503</v>
      </c>
      <c r="CB113" s="173">
        <f t="shared" ca="1" si="129"/>
        <v>13.734273504273503</v>
      </c>
      <c r="CC113" s="173">
        <f t="shared" ca="1" si="130"/>
        <v>27.468547008547006</v>
      </c>
      <c r="CD113" s="180"/>
      <c r="CE113" s="180"/>
      <c r="CF113" s="166">
        <f t="shared" ca="1" si="119"/>
        <v>38.280564556237763</v>
      </c>
      <c r="CG113" s="167">
        <f t="shared" ca="1" si="120"/>
        <v>9.5701411390594409</v>
      </c>
      <c r="CH113" s="167">
        <f t="shared" ca="1" si="120"/>
        <v>9.5701411390594409</v>
      </c>
      <c r="CI113" s="167">
        <f t="shared" ca="1" si="120"/>
        <v>19.140282278118882</v>
      </c>
      <c r="CJ113" s="178"/>
      <c r="CK113" s="178"/>
    </row>
    <row r="114" spans="2:89">
      <c r="B114" s="7" t="s">
        <v>24</v>
      </c>
      <c r="AC114" s="164" t="s">
        <v>167</v>
      </c>
      <c r="AD114" s="164">
        <v>48</v>
      </c>
      <c r="AE114" s="165">
        <v>12</v>
      </c>
      <c r="AF114" s="165">
        <v>18</v>
      </c>
      <c r="AG114" s="165">
        <v>18</v>
      </c>
      <c r="AH114" s="164"/>
      <c r="AI114" s="164"/>
      <c r="AJ114" s="501"/>
      <c r="AK114" s="166">
        <f t="shared" ca="1" si="104"/>
        <v>48.489999999999995</v>
      </c>
      <c r="AL114" s="167">
        <f t="shared" ca="1" si="121"/>
        <v>12.122499999999999</v>
      </c>
      <c r="AM114" s="167">
        <f t="shared" ca="1" si="122"/>
        <v>18.18375</v>
      </c>
      <c r="AN114" s="167">
        <f t="shared" ca="1" si="123"/>
        <v>18.18375</v>
      </c>
      <c r="AO114" s="178"/>
      <c r="AP114" s="178"/>
      <c r="AQ114" s="169">
        <f t="shared" ca="1" si="107"/>
        <v>52.721111111111114</v>
      </c>
      <c r="AR114" s="170">
        <f ca="1">INDEX('Cap based on indoor unit SZ'!$J$6:$J$21,MATCH(AE114,'Cap based on indoor unit SZ'!$I$6:$I$21))</f>
        <v>13.078888888888891</v>
      </c>
      <c r="AS114" s="170">
        <f ca="1">INDEX('Cap based on indoor unit SZ'!$J$6:$J$21,MATCH(AF114,'Cap based on indoor unit SZ'!$I$6:$I$21))</f>
        <v>19.821111111111112</v>
      </c>
      <c r="AT114" s="170">
        <f ca="1">INDEX('Cap based on indoor unit SZ'!$J$6:$J$21,MATCH(AG114,'Cap based on indoor unit SZ'!$I$6:$I$21))</f>
        <v>19.821111111111112</v>
      </c>
      <c r="AU114" s="179"/>
      <c r="AV114" s="179"/>
      <c r="AW114" s="169">
        <f t="shared" si="108"/>
        <v>44</v>
      </c>
      <c r="AX114" s="170">
        <v>11</v>
      </c>
      <c r="AY114" s="170">
        <v>16.5</v>
      </c>
      <c r="AZ114" s="170">
        <v>16.5</v>
      </c>
      <c r="BA114" s="179"/>
      <c r="BB114" s="179"/>
      <c r="BC114" s="172">
        <f t="shared" ca="1" si="109"/>
        <v>48.489999999999995</v>
      </c>
      <c r="BD114" s="173">
        <f t="shared" ca="1" si="124"/>
        <v>12.122499999999999</v>
      </c>
      <c r="BE114" s="173">
        <f t="shared" ca="1" si="124"/>
        <v>18.18375</v>
      </c>
      <c r="BF114" s="173">
        <f t="shared" ca="1" si="124"/>
        <v>18.18375</v>
      </c>
      <c r="BG114" s="180"/>
      <c r="BH114" s="180"/>
      <c r="BI114" s="166">
        <f t="shared" ca="1" si="112"/>
        <v>54.937094017094012</v>
      </c>
      <c r="BJ114" s="167">
        <f t="shared" ca="1" si="125"/>
        <v>13.734273504273503</v>
      </c>
      <c r="BK114" s="167">
        <f t="shared" ca="1" si="126"/>
        <v>20.601410256410254</v>
      </c>
      <c r="BL114" s="167">
        <f t="shared" ca="1" si="127"/>
        <v>20.601410256410254</v>
      </c>
      <c r="BM114" s="178"/>
      <c r="BN114" s="178"/>
      <c r="BO114" s="169">
        <f t="shared" ca="1" si="115"/>
        <v>64.14266666666667</v>
      </c>
      <c r="BP114" s="170">
        <f ca="1">INDEX('Cap based on indoor unit SZ'!$V$43:$V$58,MATCH(AE114,'Cap based on indoor unit SZ'!$U$43:$U$58))</f>
        <v>14.945025641025641</v>
      </c>
      <c r="BQ114" s="170">
        <f ca="1">INDEX('Cap based on indoor unit SZ'!$V$43:$V$58,MATCH(AF114,'Cap based on indoor unit SZ'!$U$43:$U$58))</f>
        <v>24.598820512820513</v>
      </c>
      <c r="BR114" s="170">
        <f ca="1">INDEX('Cap based on indoor unit SZ'!$V$43:$V$58,MATCH(AG114,'Cap based on indoor unit SZ'!$U$43:$U$58))</f>
        <v>24.598820512820513</v>
      </c>
      <c r="BS114" s="179"/>
      <c r="BT114" s="179"/>
      <c r="BU114" s="175">
        <v>11500</v>
      </c>
      <c r="BV114" s="175">
        <v>17000</v>
      </c>
      <c r="BW114" s="175">
        <v>17000</v>
      </c>
      <c r="BX114" s="179"/>
      <c r="BY114" s="179"/>
      <c r="BZ114" s="172">
        <f t="shared" ca="1" si="116"/>
        <v>54.937094017094012</v>
      </c>
      <c r="CA114" s="173">
        <f t="shared" ca="1" si="128"/>
        <v>13.734273504273503</v>
      </c>
      <c r="CB114" s="173">
        <f t="shared" ca="1" si="129"/>
        <v>20.601410256410254</v>
      </c>
      <c r="CC114" s="173">
        <f t="shared" ca="1" si="130"/>
        <v>20.601410256410254</v>
      </c>
      <c r="CD114" s="180"/>
      <c r="CE114" s="180"/>
      <c r="CF114" s="166">
        <f t="shared" ca="1" si="119"/>
        <v>38.280564556237763</v>
      </c>
      <c r="CG114" s="167">
        <f t="shared" ca="1" si="120"/>
        <v>9.5701411390594409</v>
      </c>
      <c r="CH114" s="167">
        <f t="shared" ca="1" si="120"/>
        <v>14.355211708589163</v>
      </c>
      <c r="CI114" s="167">
        <f t="shared" ca="1" si="120"/>
        <v>14.355211708589163</v>
      </c>
      <c r="CJ114" s="178"/>
      <c r="CK114" s="178"/>
    </row>
    <row r="115" spans="2:89">
      <c r="B115" s="527" t="s">
        <v>9</v>
      </c>
      <c r="C115" s="528" t="s">
        <v>0</v>
      </c>
      <c r="D115" s="529"/>
      <c r="E115" s="530"/>
      <c r="F115" s="11"/>
      <c r="G115" s="531" t="s">
        <v>10</v>
      </c>
      <c r="H115" s="531"/>
      <c r="I115" s="531"/>
      <c r="J115" s="531"/>
      <c r="K115" s="531"/>
      <c r="L115" s="531"/>
      <c r="M115" s="531"/>
      <c r="N115" s="531"/>
      <c r="O115" s="531"/>
      <c r="P115" s="531"/>
      <c r="Q115" s="531"/>
      <c r="R115" s="12"/>
      <c r="AC115" s="164" t="s">
        <v>166</v>
      </c>
      <c r="AD115" s="164">
        <v>48</v>
      </c>
      <c r="AE115" s="165">
        <v>12</v>
      </c>
      <c r="AF115" s="165">
        <v>18</v>
      </c>
      <c r="AG115" s="165">
        <v>24</v>
      </c>
      <c r="AH115" s="164"/>
      <c r="AI115" s="164"/>
      <c r="AJ115" s="501"/>
      <c r="AK115" s="166">
        <f t="shared" ca="1" si="104"/>
        <v>48.489999999999988</v>
      </c>
      <c r="AL115" s="167">
        <f t="shared" ca="1" si="121"/>
        <v>10.775555555555552</v>
      </c>
      <c r="AM115" s="167">
        <f t="shared" ca="1" si="122"/>
        <v>16.16333333333333</v>
      </c>
      <c r="AN115" s="167">
        <f t="shared" ca="1" si="123"/>
        <v>21.551111111111105</v>
      </c>
      <c r="AO115" s="178"/>
      <c r="AP115" s="178"/>
      <c r="AQ115" s="169">
        <f t="shared" ca="1" si="107"/>
        <v>57.352222222222224</v>
      </c>
      <c r="AR115" s="170">
        <f ca="1">INDEX('Cap based on indoor unit SZ'!$J$6:$J$21,MATCH(AE115,'Cap based on indoor unit SZ'!$I$6:$I$21))</f>
        <v>13.078888888888891</v>
      </c>
      <c r="AS115" s="170">
        <f ca="1">INDEX('Cap based on indoor unit SZ'!$J$6:$J$21,MATCH(AF115,'Cap based on indoor unit SZ'!$I$6:$I$21))</f>
        <v>19.821111111111112</v>
      </c>
      <c r="AT115" s="170">
        <f ca="1">INDEX('Cap based on indoor unit SZ'!$J$6:$J$21,MATCH(AG115,'Cap based on indoor unit SZ'!$I$6:$I$21))</f>
        <v>24.452222222222218</v>
      </c>
      <c r="AU115" s="179"/>
      <c r="AV115" s="179"/>
      <c r="AW115" s="169">
        <f t="shared" si="108"/>
        <v>48</v>
      </c>
      <c r="AX115" s="170">
        <v>10.5</v>
      </c>
      <c r="AY115" s="170">
        <v>16</v>
      </c>
      <c r="AZ115" s="170">
        <v>21.5</v>
      </c>
      <c r="BA115" s="179"/>
      <c r="BB115" s="179"/>
      <c r="BC115" s="172">
        <f t="shared" ca="1" si="109"/>
        <v>48.489999999999988</v>
      </c>
      <c r="BD115" s="173">
        <f t="shared" ca="1" si="124"/>
        <v>10.775555555555552</v>
      </c>
      <c r="BE115" s="173">
        <f t="shared" ca="1" si="124"/>
        <v>16.16333333333333</v>
      </c>
      <c r="BF115" s="173">
        <f t="shared" ca="1" si="124"/>
        <v>21.551111111111105</v>
      </c>
      <c r="BG115" s="180"/>
      <c r="BH115" s="180"/>
      <c r="BI115" s="166">
        <f t="shared" ca="1" si="112"/>
        <v>54.937094017094012</v>
      </c>
      <c r="BJ115" s="167">
        <f t="shared" ca="1" si="125"/>
        <v>12.208243114909779</v>
      </c>
      <c r="BK115" s="167">
        <f t="shared" ca="1" si="126"/>
        <v>18.312364672364669</v>
      </c>
      <c r="BL115" s="167">
        <f t="shared" ca="1" si="127"/>
        <v>24.416486229819558</v>
      </c>
      <c r="BM115" s="178"/>
      <c r="BN115" s="178"/>
      <c r="BO115" s="169">
        <f t="shared" ca="1" si="115"/>
        <v>69.833846153846153</v>
      </c>
      <c r="BP115" s="170">
        <f ca="1">INDEX('Cap based on indoor unit SZ'!$V$43:$V$58,MATCH(AE115,'Cap based on indoor unit SZ'!$U$43:$U$58))</f>
        <v>14.945025641025641</v>
      </c>
      <c r="BQ115" s="170">
        <f ca="1">INDEX('Cap based on indoor unit SZ'!$V$43:$V$58,MATCH(AF115,'Cap based on indoor unit SZ'!$U$43:$U$58))</f>
        <v>24.598820512820513</v>
      </c>
      <c r="BR115" s="170">
        <f ca="1">INDEX('Cap based on indoor unit SZ'!$V$43:$V$58,MATCH(AG115,'Cap based on indoor unit SZ'!$U$43:$U$58))</f>
        <v>30.290000000000003</v>
      </c>
      <c r="BS115" s="179"/>
      <c r="BT115" s="179"/>
      <c r="BU115" s="175">
        <v>11000</v>
      </c>
      <c r="BV115" s="175">
        <v>16000</v>
      </c>
      <c r="BW115" s="175">
        <v>22000</v>
      </c>
      <c r="BX115" s="179"/>
      <c r="BY115" s="179"/>
      <c r="BZ115" s="172">
        <f t="shared" ca="1" si="116"/>
        <v>54.937094017094012</v>
      </c>
      <c r="CA115" s="173">
        <f t="shared" ca="1" si="128"/>
        <v>12.208243114909779</v>
      </c>
      <c r="CB115" s="173">
        <f t="shared" ca="1" si="129"/>
        <v>18.312364672364669</v>
      </c>
      <c r="CC115" s="173">
        <f t="shared" ca="1" si="130"/>
        <v>24.416486229819558</v>
      </c>
      <c r="CD115" s="180"/>
      <c r="CE115" s="180"/>
      <c r="CF115" s="166">
        <f t="shared" ca="1" si="119"/>
        <v>38.280564556237763</v>
      </c>
      <c r="CG115" s="167">
        <f t="shared" ca="1" si="120"/>
        <v>8.5067921236083901</v>
      </c>
      <c r="CH115" s="167">
        <f t="shared" ca="1" si="120"/>
        <v>12.760188185412588</v>
      </c>
      <c r="CI115" s="167">
        <f t="shared" ca="1" si="120"/>
        <v>17.01358424721678</v>
      </c>
      <c r="CJ115" s="178"/>
      <c r="CK115" s="178"/>
    </row>
    <row r="116" spans="2:89">
      <c r="B116" s="527"/>
      <c r="C116" s="518" t="s">
        <v>25</v>
      </c>
      <c r="D116" s="519"/>
      <c r="E116" s="153"/>
      <c r="F116" s="152"/>
      <c r="G116" s="152"/>
      <c r="H116" s="152"/>
      <c r="I116" s="152"/>
      <c r="J116" s="152"/>
      <c r="K116" s="152"/>
      <c r="L116" s="152"/>
      <c r="M116" s="152"/>
      <c r="N116" s="152"/>
      <c r="O116" s="152"/>
      <c r="P116" s="152"/>
      <c r="Q116" s="152"/>
      <c r="R116" s="13"/>
      <c r="AC116" s="164" t="s">
        <v>165</v>
      </c>
      <c r="AD116" s="164">
        <v>48</v>
      </c>
      <c r="AE116" s="165">
        <v>12</v>
      </c>
      <c r="AF116" s="165">
        <v>24</v>
      </c>
      <c r="AG116" s="165">
        <v>24</v>
      </c>
      <c r="AH116" s="164"/>
      <c r="AI116" s="164"/>
      <c r="AJ116" s="501"/>
      <c r="AK116" s="166">
        <f t="shared" ca="1" si="104"/>
        <v>48.49</v>
      </c>
      <c r="AL116" s="167">
        <f t="shared" ca="1" si="121"/>
        <v>9.6980000000000004</v>
      </c>
      <c r="AM116" s="167">
        <f t="shared" ca="1" si="122"/>
        <v>19.396000000000001</v>
      </c>
      <c r="AN116" s="167">
        <f t="shared" ca="1" si="123"/>
        <v>19.396000000000001</v>
      </c>
      <c r="AO116" s="178"/>
      <c r="AP116" s="178"/>
      <c r="AQ116" s="169">
        <f t="shared" ca="1" si="107"/>
        <v>61.983333333333327</v>
      </c>
      <c r="AR116" s="170">
        <f ca="1">INDEX('Cap based on indoor unit SZ'!$J$6:$J$21,MATCH(AE116,'Cap based on indoor unit SZ'!$I$6:$I$21))</f>
        <v>13.078888888888891</v>
      </c>
      <c r="AS116" s="170">
        <f ca="1">INDEX('Cap based on indoor unit SZ'!$J$6:$J$21,MATCH(AF116,'Cap based on indoor unit SZ'!$I$6:$I$21))</f>
        <v>24.452222222222218</v>
      </c>
      <c r="AT116" s="170">
        <f ca="1">INDEX('Cap based on indoor unit SZ'!$J$6:$J$21,MATCH(AG116,'Cap based on indoor unit SZ'!$I$6:$I$21))</f>
        <v>24.452222222222218</v>
      </c>
      <c r="AU116" s="179"/>
      <c r="AV116" s="179"/>
      <c r="AW116" s="169">
        <f t="shared" si="108"/>
        <v>50</v>
      </c>
      <c r="AX116" s="170">
        <v>10</v>
      </c>
      <c r="AY116" s="170">
        <v>20</v>
      </c>
      <c r="AZ116" s="170">
        <v>20</v>
      </c>
      <c r="BA116" s="179"/>
      <c r="BB116" s="179"/>
      <c r="BC116" s="172">
        <f t="shared" ca="1" si="109"/>
        <v>48.49</v>
      </c>
      <c r="BD116" s="173">
        <f t="shared" ca="1" si="124"/>
        <v>9.6980000000000004</v>
      </c>
      <c r="BE116" s="173">
        <f t="shared" ca="1" si="124"/>
        <v>19.396000000000001</v>
      </c>
      <c r="BF116" s="173">
        <f t="shared" ca="1" si="124"/>
        <v>19.396000000000001</v>
      </c>
      <c r="BG116" s="180"/>
      <c r="BH116" s="180"/>
      <c r="BI116" s="166">
        <f t="shared" ca="1" si="112"/>
        <v>54.937094017094005</v>
      </c>
      <c r="BJ116" s="167">
        <f t="shared" ca="1" si="125"/>
        <v>10.987418803418802</v>
      </c>
      <c r="BK116" s="167">
        <f t="shared" ca="1" si="126"/>
        <v>21.974837606837603</v>
      </c>
      <c r="BL116" s="167">
        <f t="shared" ca="1" si="127"/>
        <v>21.974837606837603</v>
      </c>
      <c r="BM116" s="178"/>
      <c r="BN116" s="178"/>
      <c r="BO116" s="169">
        <f t="shared" ca="1" si="115"/>
        <v>75.52502564102565</v>
      </c>
      <c r="BP116" s="170">
        <f ca="1">INDEX('Cap based on indoor unit SZ'!$V$43:$V$58,MATCH(AE116,'Cap based on indoor unit SZ'!$U$43:$U$58))</f>
        <v>14.945025641025641</v>
      </c>
      <c r="BQ116" s="170">
        <f ca="1">INDEX('Cap based on indoor unit SZ'!$V$43:$V$58,MATCH(AF116,'Cap based on indoor unit SZ'!$U$43:$U$58))</f>
        <v>30.290000000000003</v>
      </c>
      <c r="BR116" s="170">
        <f ca="1">INDEX('Cap based on indoor unit SZ'!$V$43:$V$58,MATCH(AG116,'Cap based on indoor unit SZ'!$U$43:$U$58))</f>
        <v>30.290000000000003</v>
      </c>
      <c r="BS116" s="179"/>
      <c r="BT116" s="179"/>
      <c r="BU116" s="175">
        <v>11000</v>
      </c>
      <c r="BV116" s="175">
        <v>20500</v>
      </c>
      <c r="BW116" s="175">
        <v>20500</v>
      </c>
      <c r="BX116" s="179"/>
      <c r="BY116" s="179"/>
      <c r="BZ116" s="172">
        <f t="shared" ca="1" si="116"/>
        <v>54.937094017094005</v>
      </c>
      <c r="CA116" s="173">
        <f t="shared" ca="1" si="128"/>
        <v>10.987418803418802</v>
      </c>
      <c r="CB116" s="173">
        <f t="shared" ca="1" si="129"/>
        <v>21.974837606837603</v>
      </c>
      <c r="CC116" s="173">
        <f t="shared" ca="1" si="130"/>
        <v>21.974837606837603</v>
      </c>
      <c r="CD116" s="180"/>
      <c r="CE116" s="180"/>
      <c r="CF116" s="166">
        <f t="shared" ca="1" si="119"/>
        <v>38.280564556237771</v>
      </c>
      <c r="CG116" s="167">
        <f t="shared" ca="1" si="120"/>
        <v>7.6561129112475541</v>
      </c>
      <c r="CH116" s="167">
        <f t="shared" ca="1" si="120"/>
        <v>15.312225822495108</v>
      </c>
      <c r="CI116" s="167">
        <f t="shared" ca="1" si="120"/>
        <v>15.312225822495108</v>
      </c>
      <c r="CJ116" s="178"/>
      <c r="CK116" s="178"/>
    </row>
    <row r="117" spans="2:89" ht="14.4" thickBot="1">
      <c r="B117" s="527"/>
      <c r="C117" s="520"/>
      <c r="D117" s="521"/>
      <c r="E117" s="237"/>
      <c r="F117" s="291">
        <v>-22</v>
      </c>
      <c r="G117" s="292">
        <v>-13</v>
      </c>
      <c r="H117" s="292">
        <v>-4</v>
      </c>
      <c r="I117" s="292">
        <v>0</v>
      </c>
      <c r="J117" s="292">
        <v>5</v>
      </c>
      <c r="K117" s="292">
        <v>17</v>
      </c>
      <c r="L117" s="292">
        <v>19.399999999999999</v>
      </c>
      <c r="M117" s="292">
        <v>24.8</v>
      </c>
      <c r="N117" s="292">
        <v>32</v>
      </c>
      <c r="O117" s="292">
        <v>39.200000000000003</v>
      </c>
      <c r="P117" s="291">
        <v>44.6</v>
      </c>
      <c r="Q117" s="291">
        <v>53.6</v>
      </c>
      <c r="R117" s="235"/>
      <c r="S117" s="235"/>
      <c r="T117" s="235"/>
      <c r="U117" s="235"/>
      <c r="V117" s="154" t="s">
        <v>98</v>
      </c>
      <c r="W117" s="154" t="s">
        <v>76</v>
      </c>
      <c r="X117" s="154" t="s">
        <v>99</v>
      </c>
      <c r="AC117" s="164" t="s">
        <v>164</v>
      </c>
      <c r="AD117" s="164">
        <v>48</v>
      </c>
      <c r="AE117" s="165">
        <v>18</v>
      </c>
      <c r="AF117" s="165">
        <v>18</v>
      </c>
      <c r="AG117" s="165">
        <v>18</v>
      </c>
      <c r="AH117" s="164"/>
      <c r="AI117" s="164"/>
      <c r="AJ117" s="501"/>
      <c r="AK117" s="166">
        <f t="shared" ca="1" si="104"/>
        <v>48.489999999999995</v>
      </c>
      <c r="AL117" s="167">
        <f t="shared" ca="1" si="121"/>
        <v>16.16333333333333</v>
      </c>
      <c r="AM117" s="167">
        <f t="shared" ca="1" si="122"/>
        <v>16.16333333333333</v>
      </c>
      <c r="AN117" s="167">
        <f t="shared" ca="1" si="123"/>
        <v>16.16333333333333</v>
      </c>
      <c r="AO117" s="178"/>
      <c r="AP117" s="178"/>
      <c r="AQ117" s="169">
        <f t="shared" ca="1" si="107"/>
        <v>59.463333333333338</v>
      </c>
      <c r="AR117" s="170">
        <f ca="1">INDEX('Cap based on indoor unit SZ'!$J$6:$J$21,MATCH(AE117,'Cap based on indoor unit SZ'!$I$6:$I$21))</f>
        <v>19.821111111111112</v>
      </c>
      <c r="AS117" s="170">
        <f ca="1">INDEX('Cap based on indoor unit SZ'!$J$6:$J$21,MATCH(AF117,'Cap based on indoor unit SZ'!$I$6:$I$21))</f>
        <v>19.821111111111112</v>
      </c>
      <c r="AT117" s="170">
        <f ca="1">INDEX('Cap based on indoor unit SZ'!$J$6:$J$21,MATCH(AG117,'Cap based on indoor unit SZ'!$I$6:$I$21))</f>
        <v>19.821111111111112</v>
      </c>
      <c r="AU117" s="179"/>
      <c r="AV117" s="179"/>
      <c r="AW117" s="169">
        <f t="shared" si="108"/>
        <v>48</v>
      </c>
      <c r="AX117" s="170">
        <v>16</v>
      </c>
      <c r="AY117" s="170">
        <v>16</v>
      </c>
      <c r="AZ117" s="170">
        <v>16</v>
      </c>
      <c r="BA117" s="179"/>
      <c r="BB117" s="179"/>
      <c r="BC117" s="172">
        <f t="shared" ca="1" si="109"/>
        <v>48.489999999999995</v>
      </c>
      <c r="BD117" s="173">
        <f t="shared" ca="1" si="124"/>
        <v>16.16333333333333</v>
      </c>
      <c r="BE117" s="173">
        <f t="shared" ca="1" si="124"/>
        <v>16.16333333333333</v>
      </c>
      <c r="BF117" s="173">
        <f t="shared" ca="1" si="124"/>
        <v>16.16333333333333</v>
      </c>
      <c r="BG117" s="180"/>
      <c r="BH117" s="180"/>
      <c r="BI117" s="166">
        <f t="shared" ca="1" si="112"/>
        <v>54.937094017094012</v>
      </c>
      <c r="BJ117" s="167">
        <f t="shared" ca="1" si="125"/>
        <v>18.312364672364669</v>
      </c>
      <c r="BK117" s="167">
        <f t="shared" ca="1" si="126"/>
        <v>18.312364672364669</v>
      </c>
      <c r="BL117" s="167">
        <f t="shared" ca="1" si="127"/>
        <v>18.312364672364669</v>
      </c>
      <c r="BM117" s="178"/>
      <c r="BN117" s="178"/>
      <c r="BO117" s="169">
        <f t="shared" ca="1" si="115"/>
        <v>73.796461538461543</v>
      </c>
      <c r="BP117" s="170">
        <f ca="1">INDEX('Cap based on indoor unit SZ'!$V$43:$V$58,MATCH(AE117,'Cap based on indoor unit SZ'!$U$43:$U$58))</f>
        <v>24.598820512820513</v>
      </c>
      <c r="BQ117" s="170">
        <f ca="1">INDEX('Cap based on indoor unit SZ'!$V$43:$V$58,MATCH(AF117,'Cap based on indoor unit SZ'!$U$43:$U$58))</f>
        <v>24.598820512820513</v>
      </c>
      <c r="BR117" s="170">
        <f ca="1">INDEX('Cap based on indoor unit SZ'!$V$43:$V$58,MATCH(AG117,'Cap based on indoor unit SZ'!$U$43:$U$58))</f>
        <v>24.598820512820513</v>
      </c>
      <c r="BS117" s="179"/>
      <c r="BT117" s="179"/>
      <c r="BU117" s="175">
        <v>16500</v>
      </c>
      <c r="BV117" s="175">
        <v>16500</v>
      </c>
      <c r="BW117" s="175">
        <v>16500</v>
      </c>
      <c r="BX117" s="179"/>
      <c r="BY117" s="179"/>
      <c r="BZ117" s="172">
        <f t="shared" ca="1" si="116"/>
        <v>54.937094017094012</v>
      </c>
      <c r="CA117" s="173">
        <f t="shared" ca="1" si="128"/>
        <v>18.312364672364669</v>
      </c>
      <c r="CB117" s="173">
        <f t="shared" ca="1" si="129"/>
        <v>18.312364672364669</v>
      </c>
      <c r="CC117" s="173">
        <f t="shared" ca="1" si="130"/>
        <v>18.312364672364669</v>
      </c>
      <c r="CD117" s="180"/>
      <c r="CE117" s="180"/>
      <c r="CF117" s="166">
        <f t="shared" ca="1" si="119"/>
        <v>38.280564556237763</v>
      </c>
      <c r="CG117" s="167">
        <f t="shared" ca="1" si="120"/>
        <v>12.760188185412588</v>
      </c>
      <c r="CH117" s="167">
        <f t="shared" ca="1" si="120"/>
        <v>12.760188185412588</v>
      </c>
      <c r="CI117" s="167">
        <f t="shared" ca="1" si="120"/>
        <v>12.760188185412588</v>
      </c>
      <c r="CJ117" s="178"/>
      <c r="CK117" s="178"/>
    </row>
    <row r="118" spans="2:89">
      <c r="B118" s="283">
        <v>18</v>
      </c>
      <c r="C118" s="285">
        <v>59</v>
      </c>
      <c r="D118" s="286"/>
      <c r="E118" s="8" t="s">
        <v>15</v>
      </c>
      <c r="F118" s="9">
        <v>7.4950000000000001</v>
      </c>
      <c r="G118" s="2">
        <v>9.2949999999999999</v>
      </c>
      <c r="H118" s="2">
        <v>11.39</v>
      </c>
      <c r="I118" s="2">
        <v>12.559999999999999</v>
      </c>
      <c r="J118" s="2">
        <v>14.565000000000001</v>
      </c>
      <c r="K118" s="2">
        <v>18.060000000000002</v>
      </c>
      <c r="L118" s="2">
        <v>18.29</v>
      </c>
      <c r="M118" s="2">
        <v>19.115000000000002</v>
      </c>
      <c r="N118" s="2">
        <v>19.549999999999997</v>
      </c>
      <c r="O118" s="2">
        <v>20.67</v>
      </c>
      <c r="P118" s="2">
        <v>24.75</v>
      </c>
      <c r="Q118" s="2">
        <v>26.255000000000003</v>
      </c>
      <c r="R118" s="195">
        <f t="shared" ref="R118:R137" ca="1" si="131">FORECAST(Heat_Design_T,OFFSET(F118:Q118,0,MATCH(Heat_Design_T,$F$117:$Q$117,1)-1,1,2),OFFSET($F$117:$Q$117,0,MATCH(Heat_Design_T,$F$117:$Q$117,1)-1,1,2))</f>
        <v>24.81688888888889</v>
      </c>
      <c r="S118" s="145"/>
      <c r="T118" s="145"/>
      <c r="U118" s="146" t="s">
        <v>96</v>
      </c>
      <c r="V118" s="147">
        <f ca="1">FORECAST(INDOOR_HEAT_DB,OFFSET(R118:R121,MATCH(INDOOR_HEAT_DB,C118:C121,1)-1,0,2),OFFSET(C118:C121,MATCH(INDOOR_HEAT_DB,C118:C121,1)-1,0,2))</f>
        <v>22.199786324786327</v>
      </c>
      <c r="W118" s="145">
        <f>B118</f>
        <v>18</v>
      </c>
      <c r="X118" s="147">
        <f ca="1">IF(OR(INDOOR_HEAT_DB&lt;C118,INDOOR_HEAT_DB&gt;C121),V120,V118)</f>
        <v>22.199786324786327</v>
      </c>
      <c r="AC118" s="164" t="s">
        <v>163</v>
      </c>
      <c r="AD118" s="164">
        <v>48</v>
      </c>
      <c r="AE118" s="165">
        <v>18</v>
      </c>
      <c r="AF118" s="165">
        <v>18</v>
      </c>
      <c r="AG118" s="165">
        <v>24</v>
      </c>
      <c r="AH118" s="164"/>
      <c r="AI118" s="164"/>
      <c r="AJ118" s="501"/>
      <c r="AK118" s="166">
        <f t="shared" ca="1" si="104"/>
        <v>48.49</v>
      </c>
      <c r="AL118" s="167">
        <f t="shared" ca="1" si="121"/>
        <v>14.547000000000001</v>
      </c>
      <c r="AM118" s="167">
        <f t="shared" ca="1" si="122"/>
        <v>14.547000000000001</v>
      </c>
      <c r="AN118" s="167">
        <f t="shared" ca="1" si="123"/>
        <v>19.396000000000001</v>
      </c>
      <c r="AO118" s="178"/>
      <c r="AP118" s="178"/>
      <c r="AQ118" s="169">
        <f t="shared" ca="1" si="107"/>
        <v>64.094444444444434</v>
      </c>
      <c r="AR118" s="170">
        <f ca="1">INDEX('Cap based on indoor unit SZ'!$J$6:$J$21,MATCH(AE118,'Cap based on indoor unit SZ'!$I$6:$I$21))</f>
        <v>19.821111111111112</v>
      </c>
      <c r="AS118" s="170">
        <f ca="1">INDEX('Cap based on indoor unit SZ'!$J$6:$J$21,MATCH(AF118,'Cap based on indoor unit SZ'!$I$6:$I$21))</f>
        <v>19.821111111111112</v>
      </c>
      <c r="AT118" s="170">
        <f ca="1">INDEX('Cap based on indoor unit SZ'!$J$6:$J$21,MATCH(AG118,'Cap based on indoor unit SZ'!$I$6:$I$21))</f>
        <v>24.452222222222218</v>
      </c>
      <c r="AU118" s="179"/>
      <c r="AV118" s="179"/>
      <c r="AW118" s="169">
        <f t="shared" si="108"/>
        <v>50</v>
      </c>
      <c r="AX118" s="170">
        <v>15</v>
      </c>
      <c r="AY118" s="170">
        <v>15</v>
      </c>
      <c r="AZ118" s="170">
        <v>20</v>
      </c>
      <c r="BA118" s="179"/>
      <c r="BB118" s="179"/>
      <c r="BC118" s="172">
        <f t="shared" ca="1" si="109"/>
        <v>48.49</v>
      </c>
      <c r="BD118" s="173">
        <f t="shared" ca="1" si="124"/>
        <v>14.547000000000001</v>
      </c>
      <c r="BE118" s="173">
        <f t="shared" ca="1" si="124"/>
        <v>14.547000000000001</v>
      </c>
      <c r="BF118" s="173">
        <f t="shared" ca="1" si="124"/>
        <v>19.396000000000001</v>
      </c>
      <c r="BG118" s="180"/>
      <c r="BH118" s="180"/>
      <c r="BI118" s="166">
        <f t="shared" ca="1" si="112"/>
        <v>54.937094017094012</v>
      </c>
      <c r="BJ118" s="167">
        <f t="shared" ca="1" si="125"/>
        <v>16.481128205128204</v>
      </c>
      <c r="BK118" s="167">
        <f t="shared" ca="1" si="126"/>
        <v>16.481128205128204</v>
      </c>
      <c r="BL118" s="167">
        <f t="shared" ca="1" si="127"/>
        <v>21.974837606837603</v>
      </c>
      <c r="BM118" s="178"/>
      <c r="BN118" s="178"/>
      <c r="BO118" s="169">
        <f t="shared" ca="1" si="115"/>
        <v>79.487641025641025</v>
      </c>
      <c r="BP118" s="170">
        <f ca="1">INDEX('Cap based on indoor unit SZ'!$V$43:$V$58,MATCH(AE118,'Cap based on indoor unit SZ'!$U$43:$U$58))</f>
        <v>24.598820512820513</v>
      </c>
      <c r="BQ118" s="170">
        <f ca="1">INDEX('Cap based on indoor unit SZ'!$V$43:$V$58,MATCH(AF118,'Cap based on indoor unit SZ'!$U$43:$U$58))</f>
        <v>24.598820512820513</v>
      </c>
      <c r="BR118" s="170">
        <f ca="1">INDEX('Cap based on indoor unit SZ'!$V$43:$V$58,MATCH(AG118,'Cap based on indoor unit SZ'!$U$43:$U$58))</f>
        <v>30.290000000000003</v>
      </c>
      <c r="BS118" s="179"/>
      <c r="BT118" s="179"/>
      <c r="BU118" s="175">
        <v>15500</v>
      </c>
      <c r="BV118" s="175">
        <v>15500</v>
      </c>
      <c r="BW118" s="175">
        <v>21000</v>
      </c>
      <c r="BX118" s="179"/>
      <c r="BY118" s="179"/>
      <c r="BZ118" s="172">
        <f t="shared" ca="1" si="116"/>
        <v>54.937094017094012</v>
      </c>
      <c r="CA118" s="173">
        <f t="shared" ca="1" si="128"/>
        <v>16.481128205128204</v>
      </c>
      <c r="CB118" s="173">
        <f t="shared" ca="1" si="129"/>
        <v>16.481128205128204</v>
      </c>
      <c r="CC118" s="173">
        <f t="shared" ca="1" si="130"/>
        <v>21.974837606837603</v>
      </c>
      <c r="CD118" s="180"/>
      <c r="CE118" s="180"/>
      <c r="CF118" s="166">
        <f t="shared" ca="1" si="119"/>
        <v>38.280564556237771</v>
      </c>
      <c r="CG118" s="167">
        <f t="shared" ca="1" si="120"/>
        <v>11.484169366871331</v>
      </c>
      <c r="CH118" s="167">
        <f t="shared" ca="1" si="120"/>
        <v>11.484169366871331</v>
      </c>
      <c r="CI118" s="167">
        <f t="shared" ca="1" si="120"/>
        <v>15.312225822495108</v>
      </c>
      <c r="CJ118" s="178"/>
      <c r="CK118" s="178"/>
    </row>
    <row r="119" spans="2:89">
      <c r="B119" s="284">
        <v>18</v>
      </c>
      <c r="C119" s="287">
        <v>64.400000000000006</v>
      </c>
      <c r="D119" s="288"/>
      <c r="E119" s="8" t="s">
        <v>15</v>
      </c>
      <c r="F119" s="9">
        <v>7.3849999999999998</v>
      </c>
      <c r="G119" s="2">
        <v>9.1550000000000011</v>
      </c>
      <c r="H119" s="2">
        <v>11.219999999999999</v>
      </c>
      <c r="I119" s="2">
        <v>12.370000000000001</v>
      </c>
      <c r="J119" s="2">
        <v>14.285</v>
      </c>
      <c r="K119" s="2">
        <v>17.79</v>
      </c>
      <c r="L119" s="2">
        <v>18.015000000000001</v>
      </c>
      <c r="M119" s="2">
        <v>18.829999999999998</v>
      </c>
      <c r="N119" s="2">
        <v>19.254999999999999</v>
      </c>
      <c r="O119" s="2">
        <v>20.355</v>
      </c>
      <c r="P119" s="2">
        <v>24.375</v>
      </c>
      <c r="Q119" s="2">
        <v>25.86</v>
      </c>
      <c r="R119" s="203">
        <f t="shared" ca="1" si="131"/>
        <v>24.441000000000003</v>
      </c>
      <c r="S119" s="145"/>
      <c r="T119" s="145"/>
      <c r="U119" s="146"/>
      <c r="V119" s="148"/>
      <c r="W119" s="145"/>
      <c r="X119" s="152"/>
      <c r="AC119" s="164" t="s">
        <v>162</v>
      </c>
      <c r="AD119" s="164">
        <v>48</v>
      </c>
      <c r="AE119" s="165">
        <v>9</v>
      </c>
      <c r="AF119" s="165">
        <v>9</v>
      </c>
      <c r="AG119" s="165">
        <v>9</v>
      </c>
      <c r="AH119" s="165">
        <v>9</v>
      </c>
      <c r="AI119" s="165"/>
      <c r="AJ119" s="500">
        <v>4</v>
      </c>
      <c r="AK119" s="166">
        <f t="shared" ca="1" si="104"/>
        <v>41.852444444444444</v>
      </c>
      <c r="AL119" s="167">
        <f t="shared" ref="AL119:AL136" ca="1" si="132">IF((INDEX($AA$4:$AA$7,MATCH(INDOOR_1,$Z$4:$Z$7))*(INDEX($X$27:$X$46,MATCH($AD119,$W$27:$W$46,1))/(INDEX($AA$4:$AA$7,MATCH(INDOOR_1,$Z$4:$Z$7))+INDEX($AA$4:$AA$7,MATCH(INDOOR_2,$Z$4:$Z$7))+INDEX($AA$4:$AA$7,MATCH(INDOOR_3,$Z$4:$Z$7))+INDEX($AA$4:$AA$7,MATCH(INDOOR_4,$Z$4:$Z$7)))))
&gt;AR119,AR119,
(INDEX($AA$4:$AA$7,MATCH(INDOOR_1,$Z$4:$Z$7))*(INDEX($X$27:$X$46,MATCH($AD119,$W$27:$W$46,1))/(INDEX($AA$4:$AA$7,MATCH(INDOOR_1,$Z$4:$Z$7))+INDEX($AA$4:$AA$7,MATCH(INDOOR_2,$Z$4:$Z$7))+INDEX($AA$4:$AA$7,MATCH(INDOOR_3,$Z$4:$Z$7))+INDEX($AA$4:$AA$7,MATCH(INDOOR_4,$Z$4:$Z$7))))))</f>
        <v>10.463111111111111</v>
      </c>
      <c r="AM119" s="167">
        <f t="shared" ref="AM119:AM136" ca="1" si="133">IF((INDEX($AA$4:$AA$7,MATCH(INDOOR_2,$Z$4:$Z$7))*(INDEX($X$27:$X$46,MATCH($AD119,$W$27:$W$46,1))/(INDEX($AA$4:$AA$7,MATCH(INDOOR_1,$Z$4:$Z$7))+INDEX($AA$4:$AA$7,MATCH(INDOOR_2,$Z$4:$Z$7))+INDEX($AA$4:$AA$7,MATCH(INDOOR_3,$Z$4:$Z$7))+INDEX($AA$4:$AA$7,MATCH(INDOOR_4,$Z$4:$Z$7)))))
&gt;AS119,AS119,
(INDEX($AA$4:$AA$7,MATCH(INDOOR_2,$Z$4:$Z$7))*(INDEX($X$27:$X$46,MATCH($AD119,$W$27:$W$46,1))/(INDEX($AA$4:$AA$7,MATCH(INDOOR_1,$Z$4:$Z$7))+INDEX($AA$4:$AA$7,MATCH(INDOOR_2,$Z$4:$Z$7))+INDEX($AA$4:$AA$7,MATCH(INDOOR_3,$Z$4:$Z$7))+INDEX($AA$4:$AA$7,MATCH(INDOOR_4,$Z$4:$Z$7))))))</f>
        <v>10.463111111111111</v>
      </c>
      <c r="AN119" s="167">
        <f t="shared" ref="AN119:AN136" ca="1" si="134">IF((INDEX($AA$4:$AA$7,MATCH(INDOOR_3,$Z$4:$Z$7))*(INDEX($X$27:$X$46,MATCH($AD119,$W$27:$W$46,1))/(INDEX($AA$4:$AA$7,MATCH(INDOOR_1,$Z$4:$Z$7))+INDEX($AA$4:$AA$7,MATCH(INDOOR_2,$Z$4:$Z$7))+INDEX($AA$4:$AA$7,MATCH(INDOOR_3,$Z$4:$Z$7))+INDEX($AA$4:$AA$7,MATCH(INDOOR_4,$Z$4:$Z$7)))))
&gt;AT119,AT119,
(INDEX($AA$4:$AA$7,MATCH(INDOOR_3,$Z$4:$Z$7))*(INDEX($X$27:$X$46,MATCH($AD119,$W$27:$W$46,1))/(INDEX($AA$4:$AA$7,MATCH(INDOOR_1,$Z$4:$Z$7))+INDEX($AA$4:$AA$7,MATCH(INDOOR_2,$Z$4:$Z$7))+INDEX($AA$4:$AA$7,MATCH(INDOOR_3,$Z$4:$Z$7))+INDEX($AA$4:$AA$7,MATCH(INDOOR_4,$Z$4:$Z$7))))))</f>
        <v>10.463111111111111</v>
      </c>
      <c r="AO119" s="167">
        <f t="shared" ref="AO119:AO136" ca="1" si="135">IF((INDEX($AA$4:$AA$7,MATCH(INDOOR_4,$Z$4:$Z$7))*(INDEX($X$27:$X$46,MATCH($AD119,$W$27:$W$46,1))/(INDEX($AA$4:$AA$7,MATCH(INDOOR_1,$Z$4:$Z$7))+INDEX($AA$4:$AA$7,MATCH(INDOOR_2,$Z$4:$Z$7))+INDEX($AA$4:$AA$7,MATCH(INDOOR_3,$Z$4:$Z$7))+INDEX($AA$4:$AA$7,MATCH(INDOOR_4,$Z$4:$Z$7)))))
&gt;AU119,AU119,
(INDEX($AA$4:$AA$7,MATCH(INDOOR_4,$Z$4:$Z$7))*(INDEX($X$27:$X$46,MATCH($AD119,$W$27:$W$46,1))/(INDEX($AA$4:$AA$7,MATCH(INDOOR_1,$Z$4:$Z$7))+INDEX($AA$4:$AA$7,MATCH(INDOOR_2,$Z$4:$Z$7))+INDEX($AA$4:$AA$7,MATCH(INDOOR_3,$Z$4:$Z$7))+INDEX($AA$4:$AA$7,MATCH(INDOOR_4,$Z$4:$Z$7))))))</f>
        <v>10.463111111111111</v>
      </c>
      <c r="AP119" s="178"/>
      <c r="AQ119" s="169">
        <f t="shared" ca="1" si="107"/>
        <v>41.852444444444444</v>
      </c>
      <c r="AR119" s="170">
        <f ca="1">INDEX('Cap based on indoor unit SZ'!$J$6:$J$21,MATCH(AE119,'Cap based on indoor unit SZ'!$I$6:$I$21))</f>
        <v>10.463111111111111</v>
      </c>
      <c r="AS119" s="170">
        <f ca="1">INDEX('Cap based on indoor unit SZ'!$J$6:$J$21,MATCH(AF119,'Cap based on indoor unit SZ'!$I$6:$I$21))</f>
        <v>10.463111111111111</v>
      </c>
      <c r="AT119" s="170">
        <f ca="1">INDEX('Cap based on indoor unit SZ'!$J$6:$J$21,MATCH(AG119,'Cap based on indoor unit SZ'!$I$6:$I$21))</f>
        <v>10.463111111111111</v>
      </c>
      <c r="AU119" s="170">
        <f ca="1">INDEX('Cap based on indoor unit SZ'!$J$6:$J$21,MATCH(AH119,'Cap based on indoor unit SZ'!$I$6:$I$21))</f>
        <v>10.463111111111111</v>
      </c>
      <c r="AV119" s="179"/>
      <c r="AW119" s="169">
        <f t="shared" si="108"/>
        <v>37</v>
      </c>
      <c r="AX119" s="170">
        <v>9.25</v>
      </c>
      <c r="AY119" s="170">
        <v>9.25</v>
      </c>
      <c r="AZ119" s="170">
        <v>9.25</v>
      </c>
      <c r="BA119" s="170">
        <v>9.25</v>
      </c>
      <c r="BB119" s="179"/>
      <c r="BC119" s="172">
        <f t="shared" ca="1" si="109"/>
        <v>48.489999999999995</v>
      </c>
      <c r="BD119" s="173">
        <f t="shared" ref="BD119:BG136" ca="1" si="136">(INDEX($AA$4:$AA$7,MATCH(AE119,$Z$4:$Z$7))*(INDEX($X$27:$X$46,MATCH($AD119,$W$27:$W$46,1))/(INDEX($AA$4:$AA$7,MATCH($AE119,$Z$4:$Z$7))+INDEX($AA$4:$AA$7,MATCH($AF119,$Z$4:$Z$7))+INDEX($AA$4:$AA$7,MATCH($AG119,$Z$4:$Z$7))+INDEX($AA$4:$AA$7,MATCH($AH119,$Z$4:$Z$7)))))</f>
        <v>12.122499999999999</v>
      </c>
      <c r="BE119" s="173">
        <f t="shared" ca="1" si="136"/>
        <v>12.122499999999999</v>
      </c>
      <c r="BF119" s="173">
        <f t="shared" ca="1" si="136"/>
        <v>12.122499999999999</v>
      </c>
      <c r="BG119" s="173">
        <f t="shared" ca="1" si="136"/>
        <v>12.122499999999999</v>
      </c>
      <c r="BH119" s="180"/>
      <c r="BI119" s="166">
        <f t="shared" ca="1" si="112"/>
        <v>47.824082051282048</v>
      </c>
      <c r="BJ119" s="167">
        <f t="shared" ref="BJ119:BJ136" ca="1" si="137">IF((INDEX($AA$4:$AA$7,MATCH(INDOOR_1,$Z$4:$Z$7))*(INDEX($X$118:$X$137,MATCH($AD119,$W$118:$W$137,1))/(INDEX($AA$4:$AA$7,MATCH(INDOOR_1,$Z$4:$Z$7))+INDEX($AA$4:$AA$7,MATCH(INDOOR_2,$Z$4:$Z$7))+INDEX($AA$4:$AA$7,MATCH(INDOOR_3,$Z$4:$Z$7))+INDEX($AA$4:$AA$7,MATCH(INDOOR_4,$Z$4:$Z$7)))))
&gt;BP119,BP119,
(INDEX($AA$4:$AA$7,MATCH(INDOOR_1,$Z$4:$Z$7))*(INDEX($X$118:$X$137,MATCH($AD119,$W$118:$W$137,1))/(INDEX($AA$4:$AA$7,MATCH(INDOOR_1,$Z$4:$Z$7))+INDEX($AA$4:$AA$7,MATCH(INDOOR_2,$Z$4:$Z$7))+INDEX($AA$4:$AA$7,MATCH(INDOOR_3,$Z$4:$Z$7))+INDEX($AA$4:$AA$7,MATCH(INDOOR_4,$Z$4:$Z$7))))))</f>
        <v>11.956020512820512</v>
      </c>
      <c r="BK119" s="167">
        <f t="shared" ref="BK119:BK136" ca="1" si="138">IF((INDEX($AA$4:$AA$7,MATCH(INDOOR_2,$Z$4:$Z$7))*(INDEX($X$118:$X$137,MATCH($AD119,$W$118:$W$137,1))/(INDEX($AA$4:$AA$7,MATCH(INDOOR_1,$Z$4:$Z$7))+INDEX($AA$4:$AA$7,MATCH(INDOOR_2,$Z$4:$Z$7))+INDEX($AA$4:$AA$7,MATCH(INDOOR_3,$Z$4:$Z$7))+INDEX($AA$4:$AA$7,MATCH(INDOOR_4,$Z$4:$Z$7)))))
&gt;BQ119,BQ119,
(INDEX($AA$4:$AA$7,MATCH(INDOOR_2,$Z$4:$Z$7))*(INDEX($X$118:$X$137,MATCH($AD119,$W$118:$W$137,1))/(INDEX($AA$4:$AA$7,MATCH(INDOOR_1,$Z$4:$Z$7))+INDEX($AA$4:$AA$7,MATCH(INDOOR_2,$Z$4:$Z$7))+INDEX($AA$4:$AA$7,MATCH(INDOOR_3,$Z$4:$Z$7))+INDEX($AA$4:$AA$7,MATCH(INDOOR_4,$Z$4:$Z$7))))))</f>
        <v>11.956020512820512</v>
      </c>
      <c r="BL119" s="167">
        <f t="shared" ref="BL119:BL136" ca="1" si="139">IF((INDEX($AA$4:$AA$7,MATCH(INDOOR_3,$Z$4:$Z$7))*(INDEX($X$118:$X$137,MATCH($AD119,$W$118:$W$137,1))/(INDEX($AA$4:$AA$7,MATCH(INDOOR_1,$Z$4:$Z$7))+INDEX($AA$4:$AA$7,MATCH(INDOOR_2,$Z$4:$Z$7))+INDEX($AA$4:$AA$7,MATCH(INDOOR_3,$Z$4:$Z$7))+INDEX($AA$4:$AA$7,MATCH(INDOOR_4,$Z$4:$Z$7)))))
&gt;BR119,BR119,
(INDEX($AA$4:$AA$7,MATCH(INDOOR_3,$Z$4:$Z$7))*(INDEX($X$118:$X$137,MATCH($AD119,$W$118:$W$137,1))/(INDEX($AA$4:$AA$7,MATCH(INDOOR_1,$Z$4:$Z$7))+INDEX($AA$4:$AA$7,MATCH(INDOOR_2,$Z$4:$Z$7))+INDEX($AA$4:$AA$7,MATCH(INDOOR_3,$Z$4:$Z$7))+INDEX($AA$4:$AA$7,MATCH(INDOOR_4,$Z$4:$Z$7))))))</f>
        <v>11.956020512820512</v>
      </c>
      <c r="BM119" s="167">
        <f t="shared" ref="BM119:BM136" ca="1" si="140">IF((INDEX($AA$4:$AA$7,MATCH(INDOOR_4,$Z$4:$Z$7))*(INDEX($X$118:$X$137,MATCH($AD119,$W$118:$W$137,1))/(INDEX($AA$4:$AA$7,MATCH(INDOOR_1,$Z$4:$Z$7))+INDEX($AA$4:$AA$7,MATCH(INDOOR_2,$Z$4:$Z$7))+INDEX($AA$4:$AA$7,MATCH(INDOOR_3,$Z$4:$Z$7))+INDEX($AA$4:$AA$7,MATCH(INDOOR_4,$Z$4:$Z$7)))))
&gt;BS119,BS119,
(INDEX($AA$4:$AA$7,MATCH(INDOOR_4,$Z$4:$Z$7))*(INDEX($X$118:$X$137,MATCH($AD119,$W$118:$W$137,1))/(INDEX($AA$4:$AA$7,MATCH(INDOOR_1,$Z$4:$Z$7))+INDEX($AA$4:$AA$7,MATCH(INDOOR_2,$Z$4:$Z$7))+INDEX($AA$4:$AA$7,MATCH(INDOOR_3,$Z$4:$Z$7))+INDEX($AA$4:$AA$7,MATCH(INDOOR_4,$Z$4:$Z$7))))))</f>
        <v>11.956020512820512</v>
      </c>
      <c r="BN119" s="178"/>
      <c r="BO119" s="169">
        <f t="shared" ca="1" si="115"/>
        <v>47.824082051282048</v>
      </c>
      <c r="BP119" s="170">
        <f ca="1">INDEX('Cap based on indoor unit SZ'!$V$43:$V$58,MATCH(AE119,'Cap based on indoor unit SZ'!$U$43:$U$58))</f>
        <v>11.956020512820512</v>
      </c>
      <c r="BQ119" s="170">
        <f ca="1">INDEX('Cap based on indoor unit SZ'!$V$43:$V$58,MATCH(AF119,'Cap based on indoor unit SZ'!$U$43:$U$58))</f>
        <v>11.956020512820512</v>
      </c>
      <c r="BR119" s="170">
        <f ca="1">INDEX('Cap based on indoor unit SZ'!$V$43:$V$58,MATCH(AG119,'Cap based on indoor unit SZ'!$U$43:$U$58))</f>
        <v>11.956020512820512</v>
      </c>
      <c r="BS119" s="170">
        <f ca="1">INDEX('Cap based on indoor unit SZ'!$V$43:$V$58,MATCH(AH119,'Cap based on indoor unit SZ'!$U$43:$U$58))</f>
        <v>11.956020512820512</v>
      </c>
      <c r="BT119" s="179"/>
      <c r="BU119" s="175">
        <v>9500</v>
      </c>
      <c r="BV119" s="175">
        <v>9500</v>
      </c>
      <c r="BW119" s="175">
        <v>9500</v>
      </c>
      <c r="BX119" s="175">
        <v>9500</v>
      </c>
      <c r="BY119" s="179"/>
      <c r="BZ119" s="172">
        <f t="shared" ca="1" si="116"/>
        <v>54.937094017094012</v>
      </c>
      <c r="CA119" s="173">
        <f t="shared" ref="CA119:CA136" ca="1" si="141">(INDEX($AA$4:$AA$7,MATCH(INDOOR_1,$Z$4:$Z$7))*(INDEX($X$118:$X$137,MATCH($AD119,$W$118:$W$137,1))/(INDEX($AA$4:$AA$7,MATCH(INDOOR_1,$Z$4:$Z$7))+INDEX($AA$4:$AA$7,MATCH(INDOOR_2,$Z$4:$Z$7))+INDEX($AA$4:$AA$7,MATCH(INDOOR_3,$Z$4:$Z$7))+INDEX($AA$4:$AA$7,MATCH(INDOOR_4,$Z$4:$Z$7)))))</f>
        <v>13.734273504273503</v>
      </c>
      <c r="CB119" s="173">
        <f t="shared" ref="CB119:CB136" ca="1" si="142">(INDEX($AA$4:$AA$7,MATCH(INDOOR_2,$Z$4:$Z$7))*(INDEX($X$118:$X$137,MATCH($AD119,$W$118:$W$137,1))/(INDEX($AA$4:$AA$7,MATCH(INDOOR_1,$Z$4:$Z$7))+INDEX($AA$4:$AA$7,MATCH(INDOOR_2,$Z$4:$Z$7))+INDEX($AA$4:$AA$7,MATCH(INDOOR_3,$Z$4:$Z$7))+INDEX($AA$4:$AA$7,MATCH(INDOOR_4,$Z$4:$Z$7)))))</f>
        <v>13.734273504273503</v>
      </c>
      <c r="CC119" s="173">
        <f t="shared" ref="CC119:CC136" ca="1" si="143">(INDEX($AA$4:$AA$7,MATCH(INDOOR_3,$Z$4:$Z$7))*(INDEX($X$118:$X$137,MATCH($AD119,$W$118:$W$137,1))/(INDEX($AA$4:$AA$7,MATCH(INDOOR_1,$Z$4:$Z$7))+INDEX($AA$4:$AA$7,MATCH(INDOOR_2,$Z$4:$Z$7))+INDEX($AA$4:$AA$7,MATCH(INDOOR_3,$Z$4:$Z$7))+INDEX($AA$4:$AA$7,MATCH(INDOOR_4,$Z$4:$Z$7)))))</f>
        <v>13.734273504273503</v>
      </c>
      <c r="CD119" s="173">
        <f t="shared" ref="CD119:CD136" ca="1" si="144">(INDEX($AA$4:$AA$7,MATCH(INDOOR_4,$Z$4:$Z$7))*(INDEX($X$118:$X$137,MATCH($AD119,$W$118:$W$137,1))/(INDEX($AA$4:$AA$7,MATCH(INDOOR_1,$Z$4:$Z$7))+INDEX($AA$4:$AA$7,MATCH(INDOOR_2,$Z$4:$Z$7))+INDEX($AA$4:$AA$7,MATCH(INDOOR_3,$Z$4:$Z$7))+INDEX($AA$4:$AA$7,MATCH(INDOOR_4,$Z$4:$Z$7)))))</f>
        <v>13.734273504273503</v>
      </c>
      <c r="CE119" s="180"/>
      <c r="CF119" s="166">
        <f t="shared" ca="1" si="119"/>
        <v>33.040527972611059</v>
      </c>
      <c r="CG119" s="167">
        <f t="shared" ca="1" si="120"/>
        <v>8.2601319931527648</v>
      </c>
      <c r="CH119" s="167">
        <f t="shared" ca="1" si="120"/>
        <v>8.2601319931527648</v>
      </c>
      <c r="CI119" s="167">
        <f t="shared" ca="1" si="120"/>
        <v>8.2601319931527648</v>
      </c>
      <c r="CJ119" s="167">
        <f t="shared" ca="1" si="120"/>
        <v>8.2601319931527648</v>
      </c>
      <c r="CK119" s="178"/>
    </row>
    <row r="120" spans="2:89">
      <c r="B120" s="284">
        <v>18</v>
      </c>
      <c r="C120" s="289">
        <v>69</v>
      </c>
      <c r="D120" s="290"/>
      <c r="E120" s="8" t="s">
        <v>15</v>
      </c>
      <c r="F120" s="9">
        <v>5.4149999999999991</v>
      </c>
      <c r="G120" s="2">
        <v>6.35</v>
      </c>
      <c r="H120" s="2">
        <v>7.3550000000000004</v>
      </c>
      <c r="I120" s="2">
        <v>8.1350000000000016</v>
      </c>
      <c r="J120" s="2">
        <v>14.195</v>
      </c>
      <c r="K120" s="2">
        <v>14.205</v>
      </c>
      <c r="L120" s="2">
        <v>14.71</v>
      </c>
      <c r="M120" s="2">
        <v>16.854999999999997</v>
      </c>
      <c r="N120" s="2">
        <v>18.395</v>
      </c>
      <c r="O120" s="2">
        <v>18.855</v>
      </c>
      <c r="P120" s="2">
        <v>22.28</v>
      </c>
      <c r="Q120" s="2">
        <v>23.380000000000003</v>
      </c>
      <c r="R120" s="203">
        <f t="shared" ca="1" si="131"/>
        <v>22.328888888888891</v>
      </c>
      <c r="S120" s="145"/>
      <c r="T120" s="145"/>
      <c r="U120" s="146" t="s">
        <v>97</v>
      </c>
      <c r="V120" s="147">
        <f ca="1">TREND(R118:R121,C118:C121,INDOOR_HEAT_DB)</f>
        <v>22.408267575669665</v>
      </c>
      <c r="W120" s="145"/>
      <c r="X120" s="152"/>
      <c r="AC120" s="164" t="s">
        <v>161</v>
      </c>
      <c r="AD120" s="164">
        <v>48</v>
      </c>
      <c r="AE120" s="165">
        <v>9</v>
      </c>
      <c r="AF120" s="165">
        <v>9</v>
      </c>
      <c r="AG120" s="165">
        <v>9</v>
      </c>
      <c r="AH120" s="165">
        <v>12</v>
      </c>
      <c r="AI120" s="165"/>
      <c r="AJ120" s="501"/>
      <c r="AK120" s="166">
        <f t="shared" ca="1" si="104"/>
        <v>44.468222222222224</v>
      </c>
      <c r="AL120" s="167">
        <f t="shared" ca="1" si="132"/>
        <v>10.463111111111111</v>
      </c>
      <c r="AM120" s="167">
        <f t="shared" ca="1" si="133"/>
        <v>10.463111111111111</v>
      </c>
      <c r="AN120" s="167">
        <f t="shared" ca="1" si="134"/>
        <v>10.463111111111111</v>
      </c>
      <c r="AO120" s="167">
        <f t="shared" ca="1" si="135"/>
        <v>13.078888888888891</v>
      </c>
      <c r="AP120" s="178"/>
      <c r="AQ120" s="169">
        <f t="shared" ca="1" si="107"/>
        <v>44.468222222222224</v>
      </c>
      <c r="AR120" s="170">
        <f ca="1">INDEX('Cap based on indoor unit SZ'!$J$6:$J$21,MATCH(AE120,'Cap based on indoor unit SZ'!$I$6:$I$21))</f>
        <v>10.463111111111111</v>
      </c>
      <c r="AS120" s="170">
        <f ca="1">INDEX('Cap based on indoor unit SZ'!$J$6:$J$21,MATCH(AF120,'Cap based on indoor unit SZ'!$I$6:$I$21))</f>
        <v>10.463111111111111</v>
      </c>
      <c r="AT120" s="170">
        <f ca="1">INDEX('Cap based on indoor unit SZ'!$J$6:$J$21,MATCH(AG120,'Cap based on indoor unit SZ'!$I$6:$I$21))</f>
        <v>10.463111111111111</v>
      </c>
      <c r="AU120" s="170">
        <f ca="1">INDEX('Cap based on indoor unit SZ'!$J$6:$J$21,MATCH(AH120,'Cap based on indoor unit SZ'!$I$6:$I$21))</f>
        <v>13.078888888888891</v>
      </c>
      <c r="AV120" s="179"/>
      <c r="AW120" s="169">
        <f t="shared" si="108"/>
        <v>39</v>
      </c>
      <c r="AX120" s="170">
        <v>9</v>
      </c>
      <c r="AY120" s="170">
        <v>9</v>
      </c>
      <c r="AZ120" s="170">
        <v>9</v>
      </c>
      <c r="BA120" s="170">
        <v>12</v>
      </c>
      <c r="BB120" s="179"/>
      <c r="BC120" s="172">
        <f t="shared" ca="1" si="109"/>
        <v>48.489999999999995</v>
      </c>
      <c r="BD120" s="173">
        <f t="shared" ca="1" si="136"/>
        <v>11.19</v>
      </c>
      <c r="BE120" s="173">
        <f t="shared" ca="1" si="136"/>
        <v>11.19</v>
      </c>
      <c r="BF120" s="173">
        <f t="shared" ca="1" si="136"/>
        <v>11.19</v>
      </c>
      <c r="BG120" s="173">
        <f t="shared" ca="1" si="136"/>
        <v>14.919999999999998</v>
      </c>
      <c r="BH120" s="180"/>
      <c r="BI120" s="166">
        <f t="shared" ca="1" si="112"/>
        <v>50.813087179487169</v>
      </c>
      <c r="BJ120" s="167">
        <f t="shared" ca="1" si="137"/>
        <v>11.956020512820512</v>
      </c>
      <c r="BK120" s="167">
        <f t="shared" ca="1" si="138"/>
        <v>11.956020512820512</v>
      </c>
      <c r="BL120" s="167">
        <f t="shared" ca="1" si="139"/>
        <v>11.956020512820512</v>
      </c>
      <c r="BM120" s="167">
        <f t="shared" ca="1" si="140"/>
        <v>14.945025641025641</v>
      </c>
      <c r="BN120" s="178"/>
      <c r="BO120" s="169">
        <f t="shared" ca="1" si="115"/>
        <v>50.813087179487169</v>
      </c>
      <c r="BP120" s="170">
        <f ca="1">INDEX('Cap based on indoor unit SZ'!$V$43:$V$58,MATCH(AE120,'Cap based on indoor unit SZ'!$U$43:$U$58))</f>
        <v>11.956020512820512</v>
      </c>
      <c r="BQ120" s="170">
        <f ca="1">INDEX('Cap based on indoor unit SZ'!$V$43:$V$58,MATCH(AF120,'Cap based on indoor unit SZ'!$U$43:$U$58))</f>
        <v>11.956020512820512</v>
      </c>
      <c r="BR120" s="170">
        <f ca="1">INDEX('Cap based on indoor unit SZ'!$V$43:$V$58,MATCH(AG120,'Cap based on indoor unit SZ'!$U$43:$U$58))</f>
        <v>11.956020512820512</v>
      </c>
      <c r="BS120" s="170">
        <f ca="1">INDEX('Cap based on indoor unit SZ'!$V$43:$V$58,MATCH(AH120,'Cap based on indoor unit SZ'!$U$43:$U$58))</f>
        <v>14.945025641025641</v>
      </c>
      <c r="BT120" s="179"/>
      <c r="BU120" s="175">
        <v>9500</v>
      </c>
      <c r="BV120" s="175">
        <v>9500</v>
      </c>
      <c r="BW120" s="175">
        <v>9500</v>
      </c>
      <c r="BX120" s="175">
        <v>12500</v>
      </c>
      <c r="BY120" s="179"/>
      <c r="BZ120" s="172">
        <f t="shared" ca="1" si="116"/>
        <v>54.937094017094019</v>
      </c>
      <c r="CA120" s="173">
        <f t="shared" ca="1" si="141"/>
        <v>12.677790927021697</v>
      </c>
      <c r="CB120" s="173">
        <f t="shared" ca="1" si="142"/>
        <v>12.677790927021697</v>
      </c>
      <c r="CC120" s="173">
        <f t="shared" ca="1" si="143"/>
        <v>12.677790927021697</v>
      </c>
      <c r="CD120" s="173">
        <f t="shared" ca="1" si="144"/>
        <v>16.903721236028929</v>
      </c>
      <c r="CE120" s="180"/>
      <c r="CF120" s="166">
        <f t="shared" ca="1" si="119"/>
        <v>35.105560970899255</v>
      </c>
      <c r="CG120" s="167">
        <f t="shared" ca="1" si="120"/>
        <v>8.2601319931527648</v>
      </c>
      <c r="CH120" s="167">
        <f t="shared" ca="1" si="120"/>
        <v>8.2601319931527648</v>
      </c>
      <c r="CI120" s="167">
        <f t="shared" ca="1" si="120"/>
        <v>8.2601319931527648</v>
      </c>
      <c r="CJ120" s="167">
        <f t="shared" ca="1" si="120"/>
        <v>10.325164991440959</v>
      </c>
      <c r="CK120" s="178"/>
    </row>
    <row r="121" spans="2:89" ht="14.4" thickBot="1">
      <c r="B121" s="284">
        <v>18</v>
      </c>
      <c r="C121" s="285">
        <v>71.599999999999994</v>
      </c>
      <c r="D121" s="286"/>
      <c r="E121" s="8" t="s">
        <v>15</v>
      </c>
      <c r="F121" s="9">
        <v>5.5350000000000001</v>
      </c>
      <c r="G121" s="2">
        <v>6.2550000000000008</v>
      </c>
      <c r="H121" s="2">
        <v>7.24</v>
      </c>
      <c r="I121" s="2">
        <v>8.0150000000000006</v>
      </c>
      <c r="J121" s="2">
        <v>13.605</v>
      </c>
      <c r="K121" s="2">
        <v>13.989999999999998</v>
      </c>
      <c r="L121" s="2">
        <v>14.489999999999998</v>
      </c>
      <c r="M121" s="2">
        <v>16.600000000000001</v>
      </c>
      <c r="N121" s="2">
        <v>18.119999999999997</v>
      </c>
      <c r="O121" s="2">
        <v>18.575000000000003</v>
      </c>
      <c r="P121" s="2">
        <v>21.945</v>
      </c>
      <c r="Q121" s="2">
        <v>23.03</v>
      </c>
      <c r="R121" s="211">
        <f t="shared" ca="1" si="131"/>
        <v>21.993222222222222</v>
      </c>
      <c r="S121" s="145"/>
      <c r="T121" s="145"/>
      <c r="U121" s="146"/>
      <c r="V121" s="149"/>
      <c r="W121" s="145"/>
      <c r="X121" s="152"/>
      <c r="AC121" s="164" t="s">
        <v>160</v>
      </c>
      <c r="AD121" s="164">
        <v>48</v>
      </c>
      <c r="AE121" s="165">
        <v>9</v>
      </c>
      <c r="AF121" s="165">
        <v>9</v>
      </c>
      <c r="AG121" s="165">
        <v>9</v>
      </c>
      <c r="AH121" s="165">
        <v>18</v>
      </c>
      <c r="AI121" s="165"/>
      <c r="AJ121" s="501"/>
      <c r="AK121" s="166">
        <f t="shared" ca="1" si="104"/>
        <v>48.489999999999995</v>
      </c>
      <c r="AL121" s="167">
        <f t="shared" ca="1" si="132"/>
        <v>9.6979999999999986</v>
      </c>
      <c r="AM121" s="167">
        <f t="shared" ca="1" si="133"/>
        <v>9.6979999999999986</v>
      </c>
      <c r="AN121" s="167">
        <f t="shared" ca="1" si="134"/>
        <v>9.6979999999999986</v>
      </c>
      <c r="AO121" s="167">
        <f t="shared" ca="1" si="135"/>
        <v>19.395999999999997</v>
      </c>
      <c r="AP121" s="178"/>
      <c r="AQ121" s="169">
        <f t="shared" ca="1" si="107"/>
        <v>51.210444444444448</v>
      </c>
      <c r="AR121" s="170">
        <f ca="1">INDEX('Cap based on indoor unit SZ'!$J$6:$J$21,MATCH(AE121,'Cap based on indoor unit SZ'!$I$6:$I$21))</f>
        <v>10.463111111111111</v>
      </c>
      <c r="AS121" s="170">
        <f ca="1">INDEX('Cap based on indoor unit SZ'!$J$6:$J$21,MATCH(AF121,'Cap based on indoor unit SZ'!$I$6:$I$21))</f>
        <v>10.463111111111111</v>
      </c>
      <c r="AT121" s="170">
        <f ca="1">INDEX('Cap based on indoor unit SZ'!$J$6:$J$21,MATCH(AG121,'Cap based on indoor unit SZ'!$I$6:$I$21))</f>
        <v>10.463111111111111</v>
      </c>
      <c r="AU121" s="170">
        <f ca="1">INDEX('Cap based on indoor unit SZ'!$J$6:$J$21,MATCH(AH121,'Cap based on indoor unit SZ'!$I$6:$I$21))</f>
        <v>19.821111111111112</v>
      </c>
      <c r="AV121" s="179"/>
      <c r="AW121" s="169">
        <f t="shared" si="108"/>
        <v>44</v>
      </c>
      <c r="AX121" s="170">
        <v>9</v>
      </c>
      <c r="AY121" s="170">
        <v>9</v>
      </c>
      <c r="AZ121" s="170">
        <v>9</v>
      </c>
      <c r="BA121" s="170">
        <v>17</v>
      </c>
      <c r="BB121" s="179"/>
      <c r="BC121" s="172">
        <f t="shared" ca="1" si="109"/>
        <v>48.489999999999995</v>
      </c>
      <c r="BD121" s="173">
        <f t="shared" ca="1" si="136"/>
        <v>9.6979999999999986</v>
      </c>
      <c r="BE121" s="173">
        <f t="shared" ca="1" si="136"/>
        <v>9.6979999999999986</v>
      </c>
      <c r="BF121" s="173">
        <f t="shared" ca="1" si="136"/>
        <v>9.6979999999999986</v>
      </c>
      <c r="BG121" s="173">
        <f t="shared" ca="1" si="136"/>
        <v>19.395999999999997</v>
      </c>
      <c r="BH121" s="180"/>
      <c r="BI121" s="166">
        <f t="shared" ca="1" si="112"/>
        <v>54.937094017094005</v>
      </c>
      <c r="BJ121" s="167">
        <f t="shared" ca="1" si="137"/>
        <v>10.987418803418802</v>
      </c>
      <c r="BK121" s="167">
        <f t="shared" ca="1" si="138"/>
        <v>10.987418803418802</v>
      </c>
      <c r="BL121" s="167">
        <f t="shared" ca="1" si="139"/>
        <v>10.987418803418802</v>
      </c>
      <c r="BM121" s="167">
        <f t="shared" ca="1" si="140"/>
        <v>21.974837606837603</v>
      </c>
      <c r="BN121" s="178"/>
      <c r="BO121" s="169">
        <f t="shared" ca="1" si="115"/>
        <v>60.466882051282042</v>
      </c>
      <c r="BP121" s="170">
        <f ca="1">INDEX('Cap based on indoor unit SZ'!$V$43:$V$58,MATCH(AE121,'Cap based on indoor unit SZ'!$U$43:$U$58))</f>
        <v>11.956020512820512</v>
      </c>
      <c r="BQ121" s="170">
        <f ca="1">INDEX('Cap based on indoor unit SZ'!$V$43:$V$58,MATCH(AF121,'Cap based on indoor unit SZ'!$U$43:$U$58))</f>
        <v>11.956020512820512</v>
      </c>
      <c r="BR121" s="170">
        <f ca="1">INDEX('Cap based on indoor unit SZ'!$V$43:$V$58,MATCH(AG121,'Cap based on indoor unit SZ'!$U$43:$U$58))</f>
        <v>11.956020512820512</v>
      </c>
      <c r="BS121" s="170">
        <f ca="1">INDEX('Cap based on indoor unit SZ'!$V$43:$V$58,MATCH(AH121,'Cap based on indoor unit SZ'!$U$43:$U$58))</f>
        <v>24.598820512820513</v>
      </c>
      <c r="BT121" s="179"/>
      <c r="BU121" s="175">
        <v>9500</v>
      </c>
      <c r="BV121" s="175">
        <v>9500</v>
      </c>
      <c r="BW121" s="175">
        <v>9500</v>
      </c>
      <c r="BX121" s="175">
        <v>17500</v>
      </c>
      <c r="BY121" s="179"/>
      <c r="BZ121" s="172">
        <f t="shared" ca="1" si="116"/>
        <v>54.937094017094005</v>
      </c>
      <c r="CA121" s="173">
        <f t="shared" ca="1" si="141"/>
        <v>10.987418803418802</v>
      </c>
      <c r="CB121" s="173">
        <f t="shared" ca="1" si="142"/>
        <v>10.987418803418802</v>
      </c>
      <c r="CC121" s="173">
        <f t="shared" ca="1" si="143"/>
        <v>10.987418803418802</v>
      </c>
      <c r="CD121" s="173">
        <f t="shared" ca="1" si="144"/>
        <v>21.974837606837603</v>
      </c>
      <c r="CE121" s="180"/>
      <c r="CF121" s="166">
        <f t="shared" ca="1" si="119"/>
        <v>38.280564556237763</v>
      </c>
      <c r="CG121" s="167">
        <f t="shared" ca="1" si="120"/>
        <v>7.6561129112475532</v>
      </c>
      <c r="CH121" s="167">
        <f t="shared" ca="1" si="120"/>
        <v>7.6561129112475532</v>
      </c>
      <c r="CI121" s="167">
        <f t="shared" ca="1" si="120"/>
        <v>7.6561129112475532</v>
      </c>
      <c r="CJ121" s="167">
        <f t="shared" ca="1" si="120"/>
        <v>15.312225822495106</v>
      </c>
      <c r="CK121" s="178"/>
    </row>
    <row r="122" spans="2:89">
      <c r="B122" s="283">
        <v>24</v>
      </c>
      <c r="C122" s="287">
        <v>59</v>
      </c>
      <c r="D122" s="288"/>
      <c r="E122" s="8" t="s">
        <v>15</v>
      </c>
      <c r="F122" s="9">
        <v>14.04</v>
      </c>
      <c r="G122" s="2">
        <v>17.84</v>
      </c>
      <c r="H122" s="2">
        <v>20.125</v>
      </c>
      <c r="I122" s="2">
        <v>22.59</v>
      </c>
      <c r="J122" s="2">
        <v>24.15</v>
      </c>
      <c r="K122" s="2">
        <v>25.5</v>
      </c>
      <c r="L122" s="2">
        <v>25.88</v>
      </c>
      <c r="M122" s="2">
        <v>28.134999999999998</v>
      </c>
      <c r="N122" s="2">
        <v>30.240000000000002</v>
      </c>
      <c r="O122" s="2">
        <v>32.019999999999996</v>
      </c>
      <c r="P122" s="2">
        <v>36.69</v>
      </c>
      <c r="Q122" s="2">
        <v>40.625</v>
      </c>
      <c r="R122" s="195">
        <f t="shared" ca="1" si="131"/>
        <v>36.864888888888885</v>
      </c>
      <c r="S122" s="145"/>
      <c r="T122" s="145"/>
      <c r="U122" s="146" t="s">
        <v>96</v>
      </c>
      <c r="V122" s="147">
        <f ca="1">FORECAST(INDOOR_HEAT_DB,OFFSET(R122:R125,MATCH(INDOOR_HEAT_DB,C122:C125,1)-1,0,2),OFFSET(C122:C125,MATCH(INDOOR_HEAT_DB,C122:C125,1)-1,0,2))</f>
        <v>35.986393162393163</v>
      </c>
      <c r="W122" s="145">
        <f>B122</f>
        <v>24</v>
      </c>
      <c r="X122" s="147">
        <f ca="1">IF(OR(INDOOR_HEAT_DB&lt;C122,INDOOR_HEAT_DB&gt;C125),V124,V122)</f>
        <v>35.986393162393163</v>
      </c>
      <c r="AC122" s="164" t="s">
        <v>159</v>
      </c>
      <c r="AD122" s="164">
        <v>48</v>
      </c>
      <c r="AE122" s="165">
        <v>9</v>
      </c>
      <c r="AF122" s="165">
        <v>9</v>
      </c>
      <c r="AG122" s="165">
        <v>9</v>
      </c>
      <c r="AH122" s="165">
        <v>24</v>
      </c>
      <c r="AI122" s="165"/>
      <c r="AJ122" s="501"/>
      <c r="AK122" s="166">
        <f t="shared" ca="1" si="104"/>
        <v>48.489999999999995</v>
      </c>
      <c r="AL122" s="167">
        <f t="shared" ca="1" si="132"/>
        <v>8.5570588235294114</v>
      </c>
      <c r="AM122" s="167">
        <f t="shared" ca="1" si="133"/>
        <v>8.5570588235294114</v>
      </c>
      <c r="AN122" s="167">
        <f t="shared" ca="1" si="134"/>
        <v>8.5570588235294114</v>
      </c>
      <c r="AO122" s="167">
        <f t="shared" ca="1" si="135"/>
        <v>22.818823529411763</v>
      </c>
      <c r="AP122" s="178"/>
      <c r="AQ122" s="169">
        <f t="shared" ca="1" si="107"/>
        <v>55.841555555555551</v>
      </c>
      <c r="AR122" s="170">
        <f ca="1">INDEX('Cap based on indoor unit SZ'!$J$6:$J$21,MATCH(AE122,'Cap based on indoor unit SZ'!$I$6:$I$21))</f>
        <v>10.463111111111111</v>
      </c>
      <c r="AS122" s="170">
        <f ca="1">INDEX('Cap based on indoor unit SZ'!$J$6:$J$21,MATCH(AF122,'Cap based on indoor unit SZ'!$I$6:$I$21))</f>
        <v>10.463111111111111</v>
      </c>
      <c r="AT122" s="170">
        <f ca="1">INDEX('Cap based on indoor unit SZ'!$J$6:$J$21,MATCH(AG122,'Cap based on indoor unit SZ'!$I$6:$I$21))</f>
        <v>10.463111111111111</v>
      </c>
      <c r="AU122" s="170">
        <f ca="1">INDEX('Cap based on indoor unit SZ'!$J$6:$J$21,MATCH(AH122,'Cap based on indoor unit SZ'!$I$6:$I$21))</f>
        <v>24.452222222222218</v>
      </c>
      <c r="AV122" s="179"/>
      <c r="AW122" s="169">
        <f t="shared" si="108"/>
        <v>46</v>
      </c>
      <c r="AX122" s="170">
        <v>8.5</v>
      </c>
      <c r="AY122" s="170">
        <v>8.5</v>
      </c>
      <c r="AZ122" s="170">
        <v>8.5</v>
      </c>
      <c r="BA122" s="170">
        <v>20.5</v>
      </c>
      <c r="BB122" s="179"/>
      <c r="BC122" s="172">
        <f t="shared" ca="1" si="109"/>
        <v>48.489999999999995</v>
      </c>
      <c r="BD122" s="173">
        <f t="shared" ca="1" si="136"/>
        <v>8.5570588235294114</v>
      </c>
      <c r="BE122" s="173">
        <f t="shared" ca="1" si="136"/>
        <v>8.5570588235294114</v>
      </c>
      <c r="BF122" s="173">
        <f t="shared" ca="1" si="136"/>
        <v>8.5570588235294114</v>
      </c>
      <c r="BG122" s="173">
        <f t="shared" ca="1" si="136"/>
        <v>22.818823529411763</v>
      </c>
      <c r="BH122" s="180"/>
      <c r="BI122" s="166">
        <f t="shared" ca="1" si="112"/>
        <v>54.937094017094012</v>
      </c>
      <c r="BJ122" s="167">
        <f t="shared" ca="1" si="137"/>
        <v>9.694781297134238</v>
      </c>
      <c r="BK122" s="167">
        <f t="shared" ca="1" si="138"/>
        <v>9.694781297134238</v>
      </c>
      <c r="BL122" s="167">
        <f t="shared" ca="1" si="139"/>
        <v>9.694781297134238</v>
      </c>
      <c r="BM122" s="167">
        <f t="shared" ca="1" si="140"/>
        <v>25.852750125691301</v>
      </c>
      <c r="BN122" s="178"/>
      <c r="BO122" s="169">
        <f t="shared" ca="1" si="115"/>
        <v>66.158061538461538</v>
      </c>
      <c r="BP122" s="170">
        <f ca="1">INDEX('Cap based on indoor unit SZ'!$V$43:$V$58,MATCH(AE122,'Cap based on indoor unit SZ'!$U$43:$U$58))</f>
        <v>11.956020512820512</v>
      </c>
      <c r="BQ122" s="170">
        <f ca="1">INDEX('Cap based on indoor unit SZ'!$V$43:$V$58,MATCH(AF122,'Cap based on indoor unit SZ'!$U$43:$U$58))</f>
        <v>11.956020512820512</v>
      </c>
      <c r="BR122" s="170">
        <f ca="1">INDEX('Cap based on indoor unit SZ'!$V$43:$V$58,MATCH(AG122,'Cap based on indoor unit SZ'!$U$43:$U$58))</f>
        <v>11.956020512820512</v>
      </c>
      <c r="BS122" s="170">
        <f ca="1">INDEX('Cap based on indoor unit SZ'!$V$43:$V$58,MATCH(AH122,'Cap based on indoor unit SZ'!$U$43:$U$58))</f>
        <v>30.290000000000003</v>
      </c>
      <c r="BT122" s="179"/>
      <c r="BU122" s="175">
        <v>9000</v>
      </c>
      <c r="BV122" s="175">
        <v>9000</v>
      </c>
      <c r="BW122" s="175">
        <v>9000</v>
      </c>
      <c r="BX122" s="175">
        <v>21000</v>
      </c>
      <c r="BY122" s="179"/>
      <c r="BZ122" s="172">
        <f t="shared" ca="1" si="116"/>
        <v>54.937094017094012</v>
      </c>
      <c r="CA122" s="173">
        <f t="shared" ca="1" si="141"/>
        <v>9.694781297134238</v>
      </c>
      <c r="CB122" s="173">
        <f t="shared" ca="1" si="142"/>
        <v>9.694781297134238</v>
      </c>
      <c r="CC122" s="173">
        <f t="shared" ca="1" si="143"/>
        <v>9.694781297134238</v>
      </c>
      <c r="CD122" s="173">
        <f t="shared" ca="1" si="144"/>
        <v>25.852750125691301</v>
      </c>
      <c r="CE122" s="180"/>
      <c r="CF122" s="166">
        <f t="shared" ca="1" si="119"/>
        <v>38.280564556237763</v>
      </c>
      <c r="CG122" s="167">
        <f t="shared" ca="1" si="120"/>
        <v>6.7553937452184298</v>
      </c>
      <c r="CH122" s="167">
        <f t="shared" ca="1" si="120"/>
        <v>6.7553937452184298</v>
      </c>
      <c r="CI122" s="167">
        <f t="shared" ca="1" si="120"/>
        <v>6.7553937452184298</v>
      </c>
      <c r="CJ122" s="167">
        <f t="shared" ca="1" si="120"/>
        <v>18.014383320582478</v>
      </c>
      <c r="CK122" s="178"/>
    </row>
    <row r="123" spans="2:89">
      <c r="B123" s="283">
        <v>24</v>
      </c>
      <c r="C123" s="289">
        <v>64.400000000000006</v>
      </c>
      <c r="D123" s="290"/>
      <c r="E123" s="8" t="s">
        <v>15</v>
      </c>
      <c r="F123" s="9">
        <v>13.864999999999998</v>
      </c>
      <c r="G123" s="2">
        <v>17.62</v>
      </c>
      <c r="H123" s="2">
        <v>19.875</v>
      </c>
      <c r="I123" s="2">
        <v>22.310000000000002</v>
      </c>
      <c r="J123" s="2">
        <v>23.950000000000003</v>
      </c>
      <c r="K123" s="2">
        <v>25.185000000000002</v>
      </c>
      <c r="L123" s="2">
        <v>25.56</v>
      </c>
      <c r="M123" s="2">
        <v>27.785</v>
      </c>
      <c r="N123" s="2">
        <v>29.935000000000002</v>
      </c>
      <c r="O123" s="2">
        <v>31.689999999999998</v>
      </c>
      <c r="P123" s="2">
        <v>36.144999999999996</v>
      </c>
      <c r="Q123" s="2">
        <v>40.020000000000003</v>
      </c>
      <c r="R123" s="203">
        <f t="shared" ca="1" si="131"/>
        <v>36.317222222222213</v>
      </c>
      <c r="S123" s="145"/>
      <c r="T123" s="145"/>
      <c r="U123" s="146"/>
      <c r="V123" s="148"/>
      <c r="W123" s="145"/>
      <c r="X123" s="152"/>
      <c r="AC123" s="164" t="s">
        <v>158</v>
      </c>
      <c r="AD123" s="164">
        <v>48</v>
      </c>
      <c r="AE123" s="165">
        <v>9</v>
      </c>
      <c r="AF123" s="165">
        <v>9</v>
      </c>
      <c r="AG123" s="165">
        <v>12</v>
      </c>
      <c r="AH123" s="165">
        <v>12</v>
      </c>
      <c r="AI123" s="165"/>
      <c r="AJ123" s="501"/>
      <c r="AK123" s="166">
        <f t="shared" ca="1" si="104"/>
        <v>46.939206349206351</v>
      </c>
      <c r="AL123" s="167">
        <f t="shared" ca="1" si="132"/>
        <v>10.390714285714285</v>
      </c>
      <c r="AM123" s="167">
        <f t="shared" ca="1" si="133"/>
        <v>10.390714285714285</v>
      </c>
      <c r="AN123" s="167">
        <f t="shared" ca="1" si="134"/>
        <v>13.078888888888891</v>
      </c>
      <c r="AO123" s="167">
        <f t="shared" ca="1" si="135"/>
        <v>13.078888888888891</v>
      </c>
      <c r="AP123" s="178"/>
      <c r="AQ123" s="169">
        <f t="shared" ca="1" si="107"/>
        <v>47.084000000000003</v>
      </c>
      <c r="AR123" s="170">
        <f ca="1">INDEX('Cap based on indoor unit SZ'!$J$6:$J$21,MATCH(AE123,'Cap based on indoor unit SZ'!$I$6:$I$21))</f>
        <v>10.463111111111111</v>
      </c>
      <c r="AS123" s="170">
        <f ca="1">INDEX('Cap based on indoor unit SZ'!$J$6:$J$21,MATCH(AF123,'Cap based on indoor unit SZ'!$I$6:$I$21))</f>
        <v>10.463111111111111</v>
      </c>
      <c r="AT123" s="170">
        <f ca="1">INDEX('Cap based on indoor unit SZ'!$J$6:$J$21,MATCH(AG123,'Cap based on indoor unit SZ'!$I$6:$I$21))</f>
        <v>13.078888888888891</v>
      </c>
      <c r="AU123" s="170">
        <f ca="1">INDEX('Cap based on indoor unit SZ'!$J$6:$J$21,MATCH(AH123,'Cap based on indoor unit SZ'!$I$6:$I$21))</f>
        <v>13.078888888888891</v>
      </c>
      <c r="AV123" s="179"/>
      <c r="AW123" s="169">
        <f t="shared" si="108"/>
        <v>42</v>
      </c>
      <c r="AX123" s="170">
        <v>9</v>
      </c>
      <c r="AY123" s="170">
        <v>9</v>
      </c>
      <c r="AZ123" s="170">
        <v>12</v>
      </c>
      <c r="BA123" s="170">
        <v>12</v>
      </c>
      <c r="BB123" s="179"/>
      <c r="BC123" s="172">
        <f t="shared" ca="1" si="109"/>
        <v>48.489999999999995</v>
      </c>
      <c r="BD123" s="173">
        <f t="shared" ca="1" si="136"/>
        <v>10.390714285714285</v>
      </c>
      <c r="BE123" s="173">
        <f t="shared" ca="1" si="136"/>
        <v>10.390714285714285</v>
      </c>
      <c r="BF123" s="173">
        <f t="shared" ca="1" si="136"/>
        <v>13.854285714285712</v>
      </c>
      <c r="BG123" s="173">
        <f t="shared" ca="1" si="136"/>
        <v>13.854285714285712</v>
      </c>
      <c r="BH123" s="180"/>
      <c r="BI123" s="166">
        <f t="shared" ca="1" si="112"/>
        <v>53.434520146520143</v>
      </c>
      <c r="BJ123" s="167">
        <f t="shared" ca="1" si="137"/>
        <v>11.772234432234432</v>
      </c>
      <c r="BK123" s="167">
        <f t="shared" ca="1" si="138"/>
        <v>11.772234432234432</v>
      </c>
      <c r="BL123" s="167">
        <f t="shared" ca="1" si="139"/>
        <v>14.945025641025641</v>
      </c>
      <c r="BM123" s="167">
        <f t="shared" ca="1" si="140"/>
        <v>14.945025641025641</v>
      </c>
      <c r="BN123" s="178"/>
      <c r="BO123" s="169">
        <f t="shared" ca="1" si="115"/>
        <v>53.802092307692305</v>
      </c>
      <c r="BP123" s="170">
        <f ca="1">INDEX('Cap based on indoor unit SZ'!$V$43:$V$58,MATCH(AE123,'Cap based on indoor unit SZ'!$U$43:$U$58))</f>
        <v>11.956020512820512</v>
      </c>
      <c r="BQ123" s="170">
        <f ca="1">INDEX('Cap based on indoor unit SZ'!$V$43:$V$58,MATCH(AF123,'Cap based on indoor unit SZ'!$U$43:$U$58))</f>
        <v>11.956020512820512</v>
      </c>
      <c r="BR123" s="170">
        <f ca="1">INDEX('Cap based on indoor unit SZ'!$V$43:$V$58,MATCH(AG123,'Cap based on indoor unit SZ'!$U$43:$U$58))</f>
        <v>14.945025641025641</v>
      </c>
      <c r="BS123" s="170">
        <f ca="1">INDEX('Cap based on indoor unit SZ'!$V$43:$V$58,MATCH(AH123,'Cap based on indoor unit SZ'!$U$43:$U$58))</f>
        <v>14.945025641025641</v>
      </c>
      <c r="BT123" s="179"/>
      <c r="BU123" s="175">
        <v>9500</v>
      </c>
      <c r="BV123" s="175">
        <v>9500</v>
      </c>
      <c r="BW123" s="175">
        <v>13000</v>
      </c>
      <c r="BX123" s="175">
        <v>13000</v>
      </c>
      <c r="BY123" s="179"/>
      <c r="BZ123" s="172">
        <f t="shared" ca="1" si="116"/>
        <v>54.937094017094012</v>
      </c>
      <c r="CA123" s="173">
        <f t="shared" ca="1" si="141"/>
        <v>11.772234432234432</v>
      </c>
      <c r="CB123" s="173">
        <f t="shared" ca="1" si="142"/>
        <v>11.772234432234432</v>
      </c>
      <c r="CC123" s="173">
        <f t="shared" ca="1" si="143"/>
        <v>15.696312576312575</v>
      </c>
      <c r="CD123" s="173">
        <f t="shared" ca="1" si="144"/>
        <v>15.696312576312575</v>
      </c>
      <c r="CE123" s="180"/>
      <c r="CF123" s="166">
        <f t="shared" ca="1" si="119"/>
        <v>37.056286221269531</v>
      </c>
      <c r="CG123" s="167">
        <f t="shared" ca="1" si="120"/>
        <v>8.2029781191938067</v>
      </c>
      <c r="CH123" s="167">
        <f t="shared" ca="1" si="120"/>
        <v>8.2029781191938067</v>
      </c>
      <c r="CI123" s="167">
        <f t="shared" ca="1" si="120"/>
        <v>10.325164991440959</v>
      </c>
      <c r="CJ123" s="167">
        <f t="shared" ca="1" si="120"/>
        <v>10.325164991440959</v>
      </c>
      <c r="CK123" s="178"/>
    </row>
    <row r="124" spans="2:89">
      <c r="B124" s="283">
        <v>24</v>
      </c>
      <c r="C124" s="285">
        <v>69</v>
      </c>
      <c r="D124" s="286"/>
      <c r="E124" s="8" t="s">
        <v>15</v>
      </c>
      <c r="F124" s="9">
        <v>13.765000000000001</v>
      </c>
      <c r="G124" s="2">
        <v>17.48</v>
      </c>
      <c r="H124" s="2">
        <v>19.72</v>
      </c>
      <c r="I124" s="2">
        <v>22.14</v>
      </c>
      <c r="J124" s="2">
        <v>23.770000000000003</v>
      </c>
      <c r="K124" s="2">
        <v>24.99</v>
      </c>
      <c r="L124" s="2">
        <v>25.36</v>
      </c>
      <c r="M124" s="2">
        <v>27.57</v>
      </c>
      <c r="N124" s="2">
        <v>29.704999999999998</v>
      </c>
      <c r="O124" s="2">
        <v>31.015000000000001</v>
      </c>
      <c r="P124" s="2">
        <v>35.995000000000005</v>
      </c>
      <c r="Q124" s="2">
        <v>40.46</v>
      </c>
      <c r="R124" s="203">
        <f t="shared" ca="1" si="131"/>
        <v>36.193444444444452</v>
      </c>
      <c r="S124" s="145"/>
      <c r="T124" s="145"/>
      <c r="U124" s="146" t="s">
        <v>97</v>
      </c>
      <c r="V124" s="147">
        <f ca="1">TREND(R122:R125,C122:C125,INDOOR_HEAT_DB)</f>
        <v>35.913331495986853</v>
      </c>
      <c r="W124" s="145"/>
      <c r="X124" s="152"/>
      <c r="AC124" s="164" t="s">
        <v>157</v>
      </c>
      <c r="AD124" s="164">
        <v>48</v>
      </c>
      <c r="AE124" s="165">
        <v>9</v>
      </c>
      <c r="AF124" s="165">
        <v>9</v>
      </c>
      <c r="AG124" s="165">
        <v>12</v>
      </c>
      <c r="AH124" s="165">
        <v>18</v>
      </c>
      <c r="AI124" s="165"/>
      <c r="AJ124" s="501"/>
      <c r="AK124" s="166">
        <f t="shared" ca="1" si="104"/>
        <v>48.489999999999995</v>
      </c>
      <c r="AL124" s="167">
        <f t="shared" ca="1" si="132"/>
        <v>9.0918749999999999</v>
      </c>
      <c r="AM124" s="167">
        <f t="shared" ca="1" si="133"/>
        <v>9.0918749999999999</v>
      </c>
      <c r="AN124" s="167">
        <f t="shared" ca="1" si="134"/>
        <v>12.122499999999999</v>
      </c>
      <c r="AO124" s="167">
        <f t="shared" ca="1" si="135"/>
        <v>18.18375</v>
      </c>
      <c r="AP124" s="178"/>
      <c r="AQ124" s="169">
        <f t="shared" ca="1" si="107"/>
        <v>53.826222222222228</v>
      </c>
      <c r="AR124" s="170">
        <f ca="1">INDEX('Cap based on indoor unit SZ'!$J$6:$J$21,MATCH(AE124,'Cap based on indoor unit SZ'!$I$6:$I$21))</f>
        <v>10.463111111111111</v>
      </c>
      <c r="AS124" s="170">
        <f ca="1">INDEX('Cap based on indoor unit SZ'!$J$6:$J$21,MATCH(AF124,'Cap based on indoor unit SZ'!$I$6:$I$21))</f>
        <v>10.463111111111111</v>
      </c>
      <c r="AT124" s="170">
        <f ca="1">INDEX('Cap based on indoor unit SZ'!$J$6:$J$21,MATCH(AG124,'Cap based on indoor unit SZ'!$I$6:$I$21))</f>
        <v>13.078888888888891</v>
      </c>
      <c r="AU124" s="170">
        <f ca="1">INDEX('Cap based on indoor unit SZ'!$J$6:$J$21,MATCH(AH124,'Cap based on indoor unit SZ'!$I$6:$I$21))</f>
        <v>19.821111111111112</v>
      </c>
      <c r="AV124" s="179"/>
      <c r="AW124" s="169">
        <f t="shared" si="108"/>
        <v>46</v>
      </c>
      <c r="AX124" s="170">
        <v>9</v>
      </c>
      <c r="AY124" s="170">
        <v>9</v>
      </c>
      <c r="AZ124" s="170">
        <v>11</v>
      </c>
      <c r="BA124" s="170">
        <v>17</v>
      </c>
      <c r="BB124" s="179"/>
      <c r="BC124" s="172">
        <f t="shared" ca="1" si="109"/>
        <v>48.489999999999995</v>
      </c>
      <c r="BD124" s="173">
        <f t="shared" ca="1" si="136"/>
        <v>9.0918749999999999</v>
      </c>
      <c r="BE124" s="173">
        <f t="shared" ca="1" si="136"/>
        <v>9.0918749999999999</v>
      </c>
      <c r="BF124" s="173">
        <f t="shared" ca="1" si="136"/>
        <v>12.122499999999999</v>
      </c>
      <c r="BG124" s="173">
        <f t="shared" ca="1" si="136"/>
        <v>18.18375</v>
      </c>
      <c r="BH124" s="180"/>
      <c r="BI124" s="166">
        <f t="shared" ca="1" si="112"/>
        <v>54.937094017094012</v>
      </c>
      <c r="BJ124" s="167">
        <f t="shared" ca="1" si="137"/>
        <v>10.300705128205127</v>
      </c>
      <c r="BK124" s="167">
        <f t="shared" ca="1" si="138"/>
        <v>10.300705128205127</v>
      </c>
      <c r="BL124" s="167">
        <f t="shared" ca="1" si="139"/>
        <v>13.734273504273503</v>
      </c>
      <c r="BM124" s="167">
        <f t="shared" ca="1" si="140"/>
        <v>20.601410256410254</v>
      </c>
      <c r="BN124" s="178"/>
      <c r="BO124" s="169">
        <f t="shared" ca="1" si="115"/>
        <v>63.455887179487178</v>
      </c>
      <c r="BP124" s="170">
        <f ca="1">INDEX('Cap based on indoor unit SZ'!$V$43:$V$58,MATCH(AE124,'Cap based on indoor unit SZ'!$U$43:$U$58))</f>
        <v>11.956020512820512</v>
      </c>
      <c r="BQ124" s="170">
        <f ca="1">INDEX('Cap based on indoor unit SZ'!$V$43:$V$58,MATCH(AF124,'Cap based on indoor unit SZ'!$U$43:$U$58))</f>
        <v>11.956020512820512</v>
      </c>
      <c r="BR124" s="170">
        <f ca="1">INDEX('Cap based on indoor unit SZ'!$V$43:$V$58,MATCH(AG124,'Cap based on indoor unit SZ'!$U$43:$U$58))</f>
        <v>14.945025641025641</v>
      </c>
      <c r="BS124" s="170">
        <f ca="1">INDEX('Cap based on indoor unit SZ'!$V$43:$V$58,MATCH(AH124,'Cap based on indoor unit SZ'!$U$43:$U$58))</f>
        <v>24.598820512820513</v>
      </c>
      <c r="BT124" s="179"/>
      <c r="BU124" s="175">
        <v>9500</v>
      </c>
      <c r="BV124" s="175">
        <v>9500</v>
      </c>
      <c r="BW124" s="175">
        <v>11500</v>
      </c>
      <c r="BX124" s="175">
        <v>17500</v>
      </c>
      <c r="BY124" s="179"/>
      <c r="BZ124" s="172">
        <f t="shared" ca="1" si="116"/>
        <v>54.937094017094012</v>
      </c>
      <c r="CA124" s="173">
        <f t="shared" ca="1" si="141"/>
        <v>10.300705128205127</v>
      </c>
      <c r="CB124" s="173">
        <f t="shared" ca="1" si="142"/>
        <v>10.300705128205127</v>
      </c>
      <c r="CC124" s="173">
        <f t="shared" ca="1" si="143"/>
        <v>13.734273504273503</v>
      </c>
      <c r="CD124" s="173">
        <f t="shared" ca="1" si="144"/>
        <v>20.601410256410254</v>
      </c>
      <c r="CE124" s="180"/>
      <c r="CF124" s="166">
        <f t="shared" ca="1" si="119"/>
        <v>38.280564556237763</v>
      </c>
      <c r="CG124" s="167">
        <f t="shared" ca="1" si="120"/>
        <v>7.1776058542945815</v>
      </c>
      <c r="CH124" s="167">
        <f t="shared" ca="1" si="120"/>
        <v>7.1776058542945815</v>
      </c>
      <c r="CI124" s="167">
        <f t="shared" ca="1" si="120"/>
        <v>9.5701411390594409</v>
      </c>
      <c r="CJ124" s="167">
        <f t="shared" ca="1" si="120"/>
        <v>14.355211708589163</v>
      </c>
      <c r="CK124" s="178"/>
    </row>
    <row r="125" spans="2:89" ht="14.4" thickBot="1">
      <c r="B125" s="283">
        <v>24</v>
      </c>
      <c r="C125" s="287">
        <v>71.599999999999994</v>
      </c>
      <c r="D125" s="288"/>
      <c r="E125" s="8" t="s">
        <v>15</v>
      </c>
      <c r="F125" s="9">
        <v>13.695</v>
      </c>
      <c r="G125" s="2">
        <v>17.395</v>
      </c>
      <c r="H125" s="2">
        <v>19.625</v>
      </c>
      <c r="I125" s="2">
        <v>22.024999999999999</v>
      </c>
      <c r="J125" s="2">
        <v>23.405000000000001</v>
      </c>
      <c r="K125" s="2">
        <v>24.865000000000002</v>
      </c>
      <c r="L125" s="2">
        <v>25.234999999999999</v>
      </c>
      <c r="M125" s="2">
        <v>27.43</v>
      </c>
      <c r="N125" s="2">
        <v>29.555</v>
      </c>
      <c r="O125" s="2">
        <v>30.59</v>
      </c>
      <c r="P125" s="2">
        <v>35.46</v>
      </c>
      <c r="Q125" s="2">
        <v>39.85</v>
      </c>
      <c r="R125" s="211">
        <f t="shared" ca="1" si="131"/>
        <v>35.655111111111111</v>
      </c>
      <c r="S125" s="145"/>
      <c r="T125" s="145"/>
      <c r="U125" s="146"/>
      <c r="V125" s="149"/>
      <c r="W125" s="145"/>
      <c r="X125" s="152"/>
      <c r="AC125" s="164" t="s">
        <v>156</v>
      </c>
      <c r="AD125" s="164">
        <v>48</v>
      </c>
      <c r="AE125" s="165">
        <v>9</v>
      </c>
      <c r="AF125" s="165">
        <v>9</v>
      </c>
      <c r="AG125" s="165">
        <v>12</v>
      </c>
      <c r="AH125" s="165">
        <v>24</v>
      </c>
      <c r="AI125" s="165"/>
      <c r="AJ125" s="501"/>
      <c r="AK125" s="166">
        <f t="shared" ca="1" si="104"/>
        <v>48.489999999999988</v>
      </c>
      <c r="AL125" s="167">
        <f t="shared" ca="1" si="132"/>
        <v>8.0816666666666652</v>
      </c>
      <c r="AM125" s="167">
        <f t="shared" ca="1" si="133"/>
        <v>8.0816666666666652</v>
      </c>
      <c r="AN125" s="167">
        <f t="shared" ca="1" si="134"/>
        <v>10.775555555555552</v>
      </c>
      <c r="AO125" s="167">
        <f t="shared" ca="1" si="135"/>
        <v>21.551111111111105</v>
      </c>
      <c r="AP125" s="178"/>
      <c r="AQ125" s="169">
        <f t="shared" ref="AQ125:AQ148" ca="1" si="145">SUM(AR125:AV125)</f>
        <v>58.457333333333331</v>
      </c>
      <c r="AR125" s="170">
        <f ca="1">INDEX('Cap based on indoor unit SZ'!$J$6:$J$21,MATCH(AE125,'Cap based on indoor unit SZ'!$I$6:$I$21))</f>
        <v>10.463111111111111</v>
      </c>
      <c r="AS125" s="170">
        <f ca="1">INDEX('Cap based on indoor unit SZ'!$J$6:$J$21,MATCH(AF125,'Cap based on indoor unit SZ'!$I$6:$I$21))</f>
        <v>10.463111111111111</v>
      </c>
      <c r="AT125" s="170">
        <f ca="1">INDEX('Cap based on indoor unit SZ'!$J$6:$J$21,MATCH(AG125,'Cap based on indoor unit SZ'!$I$6:$I$21))</f>
        <v>13.078888888888891</v>
      </c>
      <c r="AU125" s="170">
        <f ca="1">INDEX('Cap based on indoor unit SZ'!$J$6:$J$21,MATCH(AH125,'Cap based on indoor unit SZ'!$I$6:$I$21))</f>
        <v>24.452222222222218</v>
      </c>
      <c r="AV125" s="179"/>
      <c r="AW125" s="169">
        <f t="shared" si="108"/>
        <v>48</v>
      </c>
      <c r="AX125" s="170">
        <v>8.5</v>
      </c>
      <c r="AY125" s="170">
        <v>8.5</v>
      </c>
      <c r="AZ125" s="170">
        <v>10.5</v>
      </c>
      <c r="BA125" s="170">
        <v>20.5</v>
      </c>
      <c r="BB125" s="179"/>
      <c r="BC125" s="172">
        <f t="shared" ref="BC125:BC148" ca="1" si="146">SUM(BD125:BH125)</f>
        <v>48.489999999999988</v>
      </c>
      <c r="BD125" s="173">
        <f t="shared" ca="1" si="136"/>
        <v>8.0816666666666652</v>
      </c>
      <c r="BE125" s="173">
        <f t="shared" ca="1" si="136"/>
        <v>8.0816666666666652</v>
      </c>
      <c r="BF125" s="173">
        <f t="shared" ca="1" si="136"/>
        <v>10.775555555555552</v>
      </c>
      <c r="BG125" s="173">
        <f t="shared" ca="1" si="136"/>
        <v>21.551111111111105</v>
      </c>
      <c r="BH125" s="180"/>
      <c r="BI125" s="166">
        <f t="shared" ca="1" si="112"/>
        <v>54.937094017094012</v>
      </c>
      <c r="BJ125" s="167">
        <f t="shared" ca="1" si="137"/>
        <v>9.1561823361823347</v>
      </c>
      <c r="BK125" s="167">
        <f t="shared" ca="1" si="138"/>
        <v>9.1561823361823347</v>
      </c>
      <c r="BL125" s="167">
        <f t="shared" ca="1" si="139"/>
        <v>12.208243114909779</v>
      </c>
      <c r="BM125" s="167">
        <f t="shared" ca="1" si="140"/>
        <v>24.416486229819558</v>
      </c>
      <c r="BN125" s="178"/>
      <c r="BO125" s="169">
        <f t="shared" ref="BO125:BO148" ca="1" si="147">SUM(BP125:BT125)</f>
        <v>69.147066666666674</v>
      </c>
      <c r="BP125" s="170">
        <f ca="1">INDEX('Cap based on indoor unit SZ'!$V$43:$V$58,MATCH(AE125,'Cap based on indoor unit SZ'!$U$43:$U$58))</f>
        <v>11.956020512820512</v>
      </c>
      <c r="BQ125" s="170">
        <f ca="1">INDEX('Cap based on indoor unit SZ'!$V$43:$V$58,MATCH(AF125,'Cap based on indoor unit SZ'!$U$43:$U$58))</f>
        <v>11.956020512820512</v>
      </c>
      <c r="BR125" s="170">
        <f ca="1">INDEX('Cap based on indoor unit SZ'!$V$43:$V$58,MATCH(AG125,'Cap based on indoor unit SZ'!$U$43:$U$58))</f>
        <v>14.945025641025641</v>
      </c>
      <c r="BS125" s="170">
        <f ca="1">INDEX('Cap based on indoor unit SZ'!$V$43:$V$58,MATCH(AH125,'Cap based on indoor unit SZ'!$U$43:$U$58))</f>
        <v>30.290000000000003</v>
      </c>
      <c r="BT125" s="179"/>
      <c r="BU125" s="175">
        <v>9000</v>
      </c>
      <c r="BV125" s="175">
        <v>9000</v>
      </c>
      <c r="BW125" s="175">
        <v>11000</v>
      </c>
      <c r="BX125" s="175">
        <v>21000</v>
      </c>
      <c r="BY125" s="179"/>
      <c r="BZ125" s="172">
        <f t="shared" ca="1" si="116"/>
        <v>54.937094017094012</v>
      </c>
      <c r="CA125" s="173">
        <f t="shared" ca="1" si="141"/>
        <v>9.1561823361823347</v>
      </c>
      <c r="CB125" s="173">
        <f t="shared" ca="1" si="142"/>
        <v>9.1561823361823347</v>
      </c>
      <c r="CC125" s="173">
        <f t="shared" ca="1" si="143"/>
        <v>12.208243114909779</v>
      </c>
      <c r="CD125" s="173">
        <f t="shared" ca="1" si="144"/>
        <v>24.416486229819558</v>
      </c>
      <c r="CE125" s="180"/>
      <c r="CF125" s="166">
        <f t="shared" ref="CF125:CF148" ca="1" si="148">SUM(CG125:CK125)</f>
        <v>38.280564556237763</v>
      </c>
      <c r="CG125" s="167">
        <f t="shared" ref="CG125:CK148" ca="1" si="149">AL125*(INDEX($X$67:$X$86,MATCH($AD125,$W$67:$W$86,1)))</f>
        <v>6.3800940927062939</v>
      </c>
      <c r="CH125" s="167">
        <f t="shared" ca="1" si="149"/>
        <v>6.3800940927062939</v>
      </c>
      <c r="CI125" s="167">
        <f t="shared" ca="1" si="149"/>
        <v>8.5067921236083901</v>
      </c>
      <c r="CJ125" s="167">
        <f t="shared" ca="1" si="149"/>
        <v>17.01358424721678</v>
      </c>
      <c r="CK125" s="178"/>
    </row>
    <row r="126" spans="2:89">
      <c r="B126" s="283">
        <v>30</v>
      </c>
      <c r="C126" s="289">
        <v>59</v>
      </c>
      <c r="D126" s="290"/>
      <c r="E126" s="8" t="s">
        <v>15</v>
      </c>
      <c r="F126" s="9">
        <v>18.545000000000002</v>
      </c>
      <c r="G126" s="2">
        <v>22.4</v>
      </c>
      <c r="H126" s="2">
        <v>24.369999999999997</v>
      </c>
      <c r="I126" s="2">
        <v>26.675000000000001</v>
      </c>
      <c r="J126" s="2">
        <v>28.605</v>
      </c>
      <c r="K126" s="2">
        <v>31.574999999999999</v>
      </c>
      <c r="L126" s="2">
        <v>31.86</v>
      </c>
      <c r="M126" s="2">
        <v>33.254999999999995</v>
      </c>
      <c r="N126" s="2">
        <v>34.93</v>
      </c>
      <c r="O126" s="2">
        <v>36.86</v>
      </c>
      <c r="P126" s="2">
        <v>38.230000000000004</v>
      </c>
      <c r="Q126" s="2">
        <v>41.629999999999995</v>
      </c>
      <c r="R126" s="195">
        <f t="shared" ca="1" si="131"/>
        <v>38.38111111111111</v>
      </c>
      <c r="S126" s="145"/>
      <c r="T126" s="145"/>
      <c r="U126" s="146" t="s">
        <v>96</v>
      </c>
      <c r="V126" s="147">
        <f ca="1">FORECAST(INDOOR_HEAT_DB,OFFSET(R126:R129,MATCH(INDOOR_HEAT_DB,C126:C129,1)-1,0,2),OFFSET(C126:C129,MATCH(INDOOR_HEAT_DB,C126:C129,1)-1,0,2))</f>
        <v>36.900965811965811</v>
      </c>
      <c r="W126" s="145">
        <f>B126</f>
        <v>30</v>
      </c>
      <c r="X126" s="147">
        <f ca="1">IF(OR(INDOOR_HEAT_DB&lt;C126,INDOOR_HEAT_DB&gt;C129),V128,V126)</f>
        <v>36.900965811965811</v>
      </c>
      <c r="AC126" s="164" t="s">
        <v>155</v>
      </c>
      <c r="AD126" s="164">
        <v>48</v>
      </c>
      <c r="AE126" s="165">
        <v>9</v>
      </c>
      <c r="AF126" s="165">
        <v>9</v>
      </c>
      <c r="AG126" s="165">
        <v>18</v>
      </c>
      <c r="AH126" s="165">
        <v>18</v>
      </c>
      <c r="AI126" s="165"/>
      <c r="AJ126" s="501"/>
      <c r="AK126" s="166">
        <f t="shared" ca="1" si="104"/>
        <v>48.489999999999995</v>
      </c>
      <c r="AL126" s="167">
        <f t="shared" ca="1" si="132"/>
        <v>8.0816666666666652</v>
      </c>
      <c r="AM126" s="167">
        <f t="shared" ca="1" si="133"/>
        <v>8.0816666666666652</v>
      </c>
      <c r="AN126" s="167">
        <f t="shared" ca="1" si="134"/>
        <v>16.16333333333333</v>
      </c>
      <c r="AO126" s="167">
        <f t="shared" ca="1" si="135"/>
        <v>16.16333333333333</v>
      </c>
      <c r="AP126" s="178"/>
      <c r="AQ126" s="169">
        <f t="shared" ca="1" si="145"/>
        <v>60.568444444444438</v>
      </c>
      <c r="AR126" s="170">
        <f ca="1">INDEX('Cap based on indoor unit SZ'!$J$6:$J$21,MATCH(AE126,'Cap based on indoor unit SZ'!$I$6:$I$21))</f>
        <v>10.463111111111111</v>
      </c>
      <c r="AS126" s="170">
        <f ca="1">INDEX('Cap based on indoor unit SZ'!$J$6:$J$21,MATCH(AF126,'Cap based on indoor unit SZ'!$I$6:$I$21))</f>
        <v>10.463111111111111</v>
      </c>
      <c r="AT126" s="170">
        <f ca="1">INDEX('Cap based on indoor unit SZ'!$J$6:$J$21,MATCH(AG126,'Cap based on indoor unit SZ'!$I$6:$I$21))</f>
        <v>19.821111111111112</v>
      </c>
      <c r="AU126" s="170">
        <f ca="1">INDEX('Cap based on indoor unit SZ'!$J$6:$J$21,MATCH(AH126,'Cap based on indoor unit SZ'!$I$6:$I$21))</f>
        <v>19.821111111111112</v>
      </c>
      <c r="AV126" s="179"/>
      <c r="AW126" s="169">
        <f t="shared" si="108"/>
        <v>48</v>
      </c>
      <c r="AX126" s="170">
        <v>8.5</v>
      </c>
      <c r="AY126" s="170">
        <v>8.5</v>
      </c>
      <c r="AZ126" s="170">
        <v>15.5</v>
      </c>
      <c r="BA126" s="170">
        <v>15.5</v>
      </c>
      <c r="BB126" s="179"/>
      <c r="BC126" s="172">
        <f t="shared" ca="1" si="146"/>
        <v>48.489999999999995</v>
      </c>
      <c r="BD126" s="173">
        <f t="shared" ca="1" si="136"/>
        <v>8.0816666666666652</v>
      </c>
      <c r="BE126" s="173">
        <f t="shared" ca="1" si="136"/>
        <v>8.0816666666666652</v>
      </c>
      <c r="BF126" s="173">
        <f t="shared" ca="1" si="136"/>
        <v>16.16333333333333</v>
      </c>
      <c r="BG126" s="173">
        <f t="shared" ca="1" si="136"/>
        <v>16.16333333333333</v>
      </c>
      <c r="BH126" s="180"/>
      <c r="BI126" s="166">
        <f t="shared" ca="1" si="112"/>
        <v>54.937094017094012</v>
      </c>
      <c r="BJ126" s="167">
        <f t="shared" ca="1" si="137"/>
        <v>9.1561823361823347</v>
      </c>
      <c r="BK126" s="167">
        <f t="shared" ca="1" si="138"/>
        <v>9.1561823361823347</v>
      </c>
      <c r="BL126" s="167">
        <f t="shared" ca="1" si="139"/>
        <v>18.312364672364669</v>
      </c>
      <c r="BM126" s="167">
        <f t="shared" ca="1" si="140"/>
        <v>18.312364672364669</v>
      </c>
      <c r="BN126" s="178"/>
      <c r="BO126" s="169">
        <f t="shared" ca="1" si="147"/>
        <v>73.10968205128205</v>
      </c>
      <c r="BP126" s="170">
        <f ca="1">INDEX('Cap based on indoor unit SZ'!$V$43:$V$58,MATCH(AE126,'Cap based on indoor unit SZ'!$U$43:$U$58))</f>
        <v>11.956020512820512</v>
      </c>
      <c r="BQ126" s="170">
        <f ca="1">INDEX('Cap based on indoor unit SZ'!$V$43:$V$58,MATCH(AF126,'Cap based on indoor unit SZ'!$U$43:$U$58))</f>
        <v>11.956020512820512</v>
      </c>
      <c r="BR126" s="170">
        <f ca="1">INDEX('Cap based on indoor unit SZ'!$V$43:$V$58,MATCH(AG126,'Cap based on indoor unit SZ'!$U$43:$U$58))</f>
        <v>24.598820512820513</v>
      </c>
      <c r="BS126" s="170">
        <f ca="1">INDEX('Cap based on indoor unit SZ'!$V$43:$V$58,MATCH(AH126,'Cap based on indoor unit SZ'!$U$43:$U$58))</f>
        <v>24.598820512820513</v>
      </c>
      <c r="BT126" s="179"/>
      <c r="BU126" s="175">
        <v>9000</v>
      </c>
      <c r="BV126" s="175">
        <v>9000</v>
      </c>
      <c r="BW126" s="175">
        <v>16000</v>
      </c>
      <c r="BX126" s="175">
        <v>16000</v>
      </c>
      <c r="BY126" s="179"/>
      <c r="BZ126" s="172">
        <f t="shared" ca="1" si="116"/>
        <v>54.937094017094012</v>
      </c>
      <c r="CA126" s="173">
        <f t="shared" ca="1" si="141"/>
        <v>9.1561823361823347</v>
      </c>
      <c r="CB126" s="173">
        <f t="shared" ca="1" si="142"/>
        <v>9.1561823361823347</v>
      </c>
      <c r="CC126" s="173">
        <f t="shared" ca="1" si="143"/>
        <v>18.312364672364669</v>
      </c>
      <c r="CD126" s="173">
        <f t="shared" ca="1" si="144"/>
        <v>18.312364672364669</v>
      </c>
      <c r="CE126" s="180"/>
      <c r="CF126" s="166">
        <f t="shared" ca="1" si="148"/>
        <v>38.280564556237763</v>
      </c>
      <c r="CG126" s="167">
        <f t="shared" ca="1" si="149"/>
        <v>6.3800940927062939</v>
      </c>
      <c r="CH126" s="167">
        <f t="shared" ca="1" si="149"/>
        <v>6.3800940927062939</v>
      </c>
      <c r="CI126" s="167">
        <f t="shared" ca="1" si="149"/>
        <v>12.760188185412588</v>
      </c>
      <c r="CJ126" s="167">
        <f t="shared" ca="1" si="149"/>
        <v>12.760188185412588</v>
      </c>
      <c r="CK126" s="178"/>
    </row>
    <row r="127" spans="2:89">
      <c r="B127" s="283">
        <v>30</v>
      </c>
      <c r="C127" s="285">
        <v>64.400000000000006</v>
      </c>
      <c r="D127" s="286"/>
      <c r="E127" s="8" t="s">
        <v>15</v>
      </c>
      <c r="F127" s="9">
        <v>18.295000000000002</v>
      </c>
      <c r="G127" s="2">
        <v>22.09</v>
      </c>
      <c r="H127" s="2">
        <v>24.03</v>
      </c>
      <c r="I127" s="2">
        <v>26.305</v>
      </c>
      <c r="J127" s="2">
        <v>28.164999999999999</v>
      </c>
      <c r="K127" s="2">
        <v>31.115000000000002</v>
      </c>
      <c r="L127" s="2">
        <v>31.395</v>
      </c>
      <c r="M127" s="2">
        <v>32.765000000000001</v>
      </c>
      <c r="N127" s="2">
        <v>34.424999999999997</v>
      </c>
      <c r="O127" s="2">
        <v>36.325000000000003</v>
      </c>
      <c r="P127" s="2">
        <v>37.655000000000001</v>
      </c>
      <c r="Q127" s="2">
        <v>41.004999999999995</v>
      </c>
      <c r="R127" s="203">
        <f t="shared" ca="1" si="131"/>
        <v>37.803888888888892</v>
      </c>
      <c r="S127" s="152"/>
      <c r="T127" s="152"/>
      <c r="U127" s="146"/>
      <c r="V127" s="148"/>
      <c r="W127" s="145"/>
      <c r="X127" s="152"/>
      <c r="AC127" s="164" t="s">
        <v>154</v>
      </c>
      <c r="AD127" s="164">
        <v>48</v>
      </c>
      <c r="AE127" s="165">
        <v>9</v>
      </c>
      <c r="AF127" s="165">
        <v>9</v>
      </c>
      <c r="AG127" s="165">
        <v>18</v>
      </c>
      <c r="AH127" s="165">
        <v>24</v>
      </c>
      <c r="AI127" s="165"/>
      <c r="AJ127" s="501"/>
      <c r="AK127" s="166">
        <f t="shared" ca="1" si="104"/>
        <v>48.49</v>
      </c>
      <c r="AL127" s="167">
        <f t="shared" ca="1" si="132"/>
        <v>7.2735000000000003</v>
      </c>
      <c r="AM127" s="167">
        <f t="shared" ca="1" si="133"/>
        <v>7.2735000000000003</v>
      </c>
      <c r="AN127" s="167">
        <f t="shared" ca="1" si="134"/>
        <v>14.547000000000001</v>
      </c>
      <c r="AO127" s="167">
        <f t="shared" ca="1" si="135"/>
        <v>19.396000000000001</v>
      </c>
      <c r="AP127" s="178"/>
      <c r="AQ127" s="169">
        <f t="shared" ca="1" si="145"/>
        <v>65.199555555555548</v>
      </c>
      <c r="AR127" s="170">
        <f ca="1">INDEX('Cap based on indoor unit SZ'!$J$6:$J$21,MATCH(AE127,'Cap based on indoor unit SZ'!$I$6:$I$21))</f>
        <v>10.463111111111111</v>
      </c>
      <c r="AS127" s="170">
        <f ca="1">INDEX('Cap based on indoor unit SZ'!$J$6:$J$21,MATCH(AF127,'Cap based on indoor unit SZ'!$I$6:$I$21))</f>
        <v>10.463111111111111</v>
      </c>
      <c r="AT127" s="170">
        <f ca="1">INDEX('Cap based on indoor unit SZ'!$J$6:$J$21,MATCH(AG127,'Cap based on indoor unit SZ'!$I$6:$I$21))</f>
        <v>19.821111111111112</v>
      </c>
      <c r="AU127" s="170">
        <f ca="1">INDEX('Cap based on indoor unit SZ'!$J$6:$J$21,MATCH(AH127,'Cap based on indoor unit SZ'!$I$6:$I$21))</f>
        <v>24.452222222222218</v>
      </c>
      <c r="AV127" s="179"/>
      <c r="AW127" s="169">
        <f t="shared" si="108"/>
        <v>50.5</v>
      </c>
      <c r="AX127" s="170">
        <v>8</v>
      </c>
      <c r="AY127" s="170">
        <v>8</v>
      </c>
      <c r="AZ127" s="170">
        <v>14.5</v>
      </c>
      <c r="BA127" s="170">
        <v>20</v>
      </c>
      <c r="BB127" s="179"/>
      <c r="BC127" s="172">
        <f t="shared" ca="1" si="146"/>
        <v>48.49</v>
      </c>
      <c r="BD127" s="173">
        <f t="shared" ca="1" si="136"/>
        <v>7.2735000000000003</v>
      </c>
      <c r="BE127" s="173">
        <f t="shared" ca="1" si="136"/>
        <v>7.2735000000000003</v>
      </c>
      <c r="BF127" s="173">
        <f t="shared" ca="1" si="136"/>
        <v>14.547000000000001</v>
      </c>
      <c r="BG127" s="173">
        <f t="shared" ca="1" si="136"/>
        <v>19.396000000000001</v>
      </c>
      <c r="BH127" s="180"/>
      <c r="BI127" s="166">
        <f t="shared" ca="1" si="112"/>
        <v>54.937094017094012</v>
      </c>
      <c r="BJ127" s="167">
        <f t="shared" ca="1" si="137"/>
        <v>8.2405641025641021</v>
      </c>
      <c r="BK127" s="167">
        <f t="shared" ca="1" si="138"/>
        <v>8.2405641025641021</v>
      </c>
      <c r="BL127" s="167">
        <f t="shared" ca="1" si="139"/>
        <v>16.481128205128204</v>
      </c>
      <c r="BM127" s="167">
        <f t="shared" ca="1" si="140"/>
        <v>21.974837606837603</v>
      </c>
      <c r="BN127" s="178"/>
      <c r="BO127" s="169">
        <f t="shared" ca="1" si="147"/>
        <v>78.800861538461547</v>
      </c>
      <c r="BP127" s="170">
        <f ca="1">INDEX('Cap based on indoor unit SZ'!$V$43:$V$58,MATCH(AE127,'Cap based on indoor unit SZ'!$U$43:$U$58))</f>
        <v>11.956020512820512</v>
      </c>
      <c r="BQ127" s="170">
        <f ca="1">INDEX('Cap based on indoor unit SZ'!$V$43:$V$58,MATCH(AF127,'Cap based on indoor unit SZ'!$U$43:$U$58))</f>
        <v>11.956020512820512</v>
      </c>
      <c r="BR127" s="170">
        <f ca="1">INDEX('Cap based on indoor unit SZ'!$V$43:$V$58,MATCH(AG127,'Cap based on indoor unit SZ'!$U$43:$U$58))</f>
        <v>24.598820512820513</v>
      </c>
      <c r="BS127" s="170">
        <f ca="1">INDEX('Cap based on indoor unit SZ'!$V$43:$V$58,MATCH(AH127,'Cap based on indoor unit SZ'!$U$43:$U$58))</f>
        <v>30.290000000000003</v>
      </c>
      <c r="BT127" s="179"/>
      <c r="BU127" s="175">
        <v>8500</v>
      </c>
      <c r="BV127" s="175">
        <v>8500</v>
      </c>
      <c r="BW127" s="175">
        <v>15000</v>
      </c>
      <c r="BX127" s="175">
        <v>20000</v>
      </c>
      <c r="BY127" s="179"/>
      <c r="BZ127" s="172">
        <f t="shared" ca="1" si="116"/>
        <v>54.937094017094012</v>
      </c>
      <c r="CA127" s="173">
        <f t="shared" ca="1" si="141"/>
        <v>8.2405641025641021</v>
      </c>
      <c r="CB127" s="173">
        <f t="shared" ca="1" si="142"/>
        <v>8.2405641025641021</v>
      </c>
      <c r="CC127" s="173">
        <f t="shared" ca="1" si="143"/>
        <v>16.481128205128204</v>
      </c>
      <c r="CD127" s="173">
        <f t="shared" ca="1" si="144"/>
        <v>21.974837606837603</v>
      </c>
      <c r="CE127" s="180"/>
      <c r="CF127" s="166">
        <f t="shared" ca="1" si="148"/>
        <v>38.280564556237771</v>
      </c>
      <c r="CG127" s="167">
        <f t="shared" ca="1" si="149"/>
        <v>5.7420846834356656</v>
      </c>
      <c r="CH127" s="167">
        <f t="shared" ca="1" si="149"/>
        <v>5.7420846834356656</v>
      </c>
      <c r="CI127" s="167">
        <f t="shared" ca="1" si="149"/>
        <v>11.484169366871331</v>
      </c>
      <c r="CJ127" s="167">
        <f t="shared" ca="1" si="149"/>
        <v>15.312225822495108</v>
      </c>
      <c r="CK127" s="178"/>
    </row>
    <row r="128" spans="2:89">
      <c r="B128" s="283">
        <v>30</v>
      </c>
      <c r="C128" s="287">
        <v>69</v>
      </c>
      <c r="D128" s="288"/>
      <c r="E128" s="8" t="s">
        <v>15</v>
      </c>
      <c r="F128" s="9">
        <v>16.594999999999999</v>
      </c>
      <c r="G128" s="2">
        <v>20.52</v>
      </c>
      <c r="H128" s="2">
        <v>21.914999999999999</v>
      </c>
      <c r="I128" s="2">
        <v>23.869999999999997</v>
      </c>
      <c r="J128" s="2">
        <v>27.1</v>
      </c>
      <c r="K128" s="2">
        <v>27.5</v>
      </c>
      <c r="L128" s="2">
        <v>27.954999999999998</v>
      </c>
      <c r="M128" s="2">
        <v>31.66</v>
      </c>
      <c r="N128" s="2">
        <v>33.75</v>
      </c>
      <c r="O128" s="2">
        <v>35.855000000000004</v>
      </c>
      <c r="P128" s="2">
        <v>36.980000000000004</v>
      </c>
      <c r="Q128" s="2">
        <v>40.020000000000003</v>
      </c>
      <c r="R128" s="203">
        <f t="shared" ca="1" si="131"/>
        <v>37.115111111111112</v>
      </c>
      <c r="S128" s="152"/>
      <c r="T128" s="152"/>
      <c r="U128" s="146" t="s">
        <v>97</v>
      </c>
      <c r="V128" s="147">
        <f ca="1">TREND(R126:R129,C126:C129,INDOOR_HEAT_DB)</f>
        <v>36.895333478387002</v>
      </c>
      <c r="W128" s="145"/>
      <c r="X128" s="152"/>
      <c r="AC128" s="164" t="s">
        <v>153</v>
      </c>
      <c r="AD128" s="164">
        <v>48</v>
      </c>
      <c r="AE128" s="165">
        <v>9</v>
      </c>
      <c r="AF128" s="165">
        <v>12</v>
      </c>
      <c r="AG128" s="165">
        <v>12</v>
      </c>
      <c r="AH128" s="165">
        <v>12</v>
      </c>
      <c r="AI128" s="165"/>
      <c r="AJ128" s="501"/>
      <c r="AK128" s="166">
        <f t="shared" ca="1" si="104"/>
        <v>48.49</v>
      </c>
      <c r="AL128" s="167">
        <f t="shared" ca="1" si="132"/>
        <v>9.6980000000000004</v>
      </c>
      <c r="AM128" s="167">
        <f t="shared" ca="1" si="133"/>
        <v>12.930666666666667</v>
      </c>
      <c r="AN128" s="167">
        <f t="shared" ca="1" si="134"/>
        <v>12.930666666666667</v>
      </c>
      <c r="AO128" s="167">
        <f t="shared" ca="1" si="135"/>
        <v>12.930666666666667</v>
      </c>
      <c r="AP128" s="178"/>
      <c r="AQ128" s="169">
        <f t="shared" ca="1" si="145"/>
        <v>49.699777777777783</v>
      </c>
      <c r="AR128" s="170">
        <f ca="1">INDEX('Cap based on indoor unit SZ'!$J$6:$J$21,MATCH(AE128,'Cap based on indoor unit SZ'!$I$6:$I$21))</f>
        <v>10.463111111111111</v>
      </c>
      <c r="AS128" s="170">
        <f ca="1">INDEX('Cap based on indoor unit SZ'!$J$6:$J$21,MATCH(AF128,'Cap based on indoor unit SZ'!$I$6:$I$21))</f>
        <v>13.078888888888891</v>
      </c>
      <c r="AT128" s="170">
        <f ca="1">INDEX('Cap based on indoor unit SZ'!$J$6:$J$21,MATCH(AG128,'Cap based on indoor unit SZ'!$I$6:$I$21))</f>
        <v>13.078888888888891</v>
      </c>
      <c r="AU128" s="170">
        <f ca="1">INDEX('Cap based on indoor unit SZ'!$J$6:$J$21,MATCH(AH128,'Cap based on indoor unit SZ'!$I$6:$I$21))</f>
        <v>13.078888888888891</v>
      </c>
      <c r="AV128" s="179"/>
      <c r="AW128" s="169">
        <f t="shared" si="108"/>
        <v>45</v>
      </c>
      <c r="AX128" s="170">
        <v>9</v>
      </c>
      <c r="AY128" s="170">
        <v>12</v>
      </c>
      <c r="AZ128" s="170">
        <v>12</v>
      </c>
      <c r="BA128" s="170">
        <v>12</v>
      </c>
      <c r="BB128" s="179"/>
      <c r="BC128" s="172">
        <f t="shared" ca="1" si="146"/>
        <v>48.49</v>
      </c>
      <c r="BD128" s="173">
        <f t="shared" ca="1" si="136"/>
        <v>9.6980000000000004</v>
      </c>
      <c r="BE128" s="173">
        <f t="shared" ca="1" si="136"/>
        <v>12.930666666666667</v>
      </c>
      <c r="BF128" s="173">
        <f t="shared" ca="1" si="136"/>
        <v>12.930666666666667</v>
      </c>
      <c r="BG128" s="173">
        <f t="shared" ca="1" si="136"/>
        <v>12.930666666666667</v>
      </c>
      <c r="BH128" s="180"/>
      <c r="BI128" s="166">
        <f t="shared" ca="1" si="112"/>
        <v>54.937094017094012</v>
      </c>
      <c r="BJ128" s="167">
        <f t="shared" ca="1" si="137"/>
        <v>10.987418803418803</v>
      </c>
      <c r="BK128" s="167">
        <f t="shared" ca="1" si="138"/>
        <v>14.649891737891737</v>
      </c>
      <c r="BL128" s="167">
        <f t="shared" ca="1" si="139"/>
        <v>14.649891737891737</v>
      </c>
      <c r="BM128" s="167">
        <f t="shared" ca="1" si="140"/>
        <v>14.649891737891737</v>
      </c>
      <c r="BN128" s="178"/>
      <c r="BO128" s="169">
        <f t="shared" ca="1" si="147"/>
        <v>56.791097435897427</v>
      </c>
      <c r="BP128" s="170">
        <f ca="1">INDEX('Cap based on indoor unit SZ'!$V$43:$V$58,MATCH(AE128,'Cap based on indoor unit SZ'!$U$43:$U$58))</f>
        <v>11.956020512820512</v>
      </c>
      <c r="BQ128" s="170">
        <f ca="1">INDEX('Cap based on indoor unit SZ'!$V$43:$V$58,MATCH(AF128,'Cap based on indoor unit SZ'!$U$43:$U$58))</f>
        <v>14.945025641025641</v>
      </c>
      <c r="BR128" s="170">
        <f ca="1">INDEX('Cap based on indoor unit SZ'!$V$43:$V$58,MATCH(AG128,'Cap based on indoor unit SZ'!$U$43:$U$58))</f>
        <v>14.945025641025641</v>
      </c>
      <c r="BS128" s="170">
        <f ca="1">INDEX('Cap based on indoor unit SZ'!$V$43:$V$58,MATCH(AH128,'Cap based on indoor unit SZ'!$U$43:$U$58))</f>
        <v>14.945025641025641</v>
      </c>
      <c r="BT128" s="179"/>
      <c r="BU128" s="175">
        <v>9500</v>
      </c>
      <c r="BV128" s="175">
        <v>12500</v>
      </c>
      <c r="BW128" s="175">
        <v>12500</v>
      </c>
      <c r="BX128" s="175">
        <v>12500</v>
      </c>
      <c r="BY128" s="179"/>
      <c r="BZ128" s="172">
        <f t="shared" ca="1" si="116"/>
        <v>54.937094017094012</v>
      </c>
      <c r="CA128" s="173">
        <f t="shared" ca="1" si="141"/>
        <v>10.987418803418803</v>
      </c>
      <c r="CB128" s="173">
        <f t="shared" ca="1" si="142"/>
        <v>14.649891737891737</v>
      </c>
      <c r="CC128" s="173">
        <f t="shared" ca="1" si="143"/>
        <v>14.649891737891737</v>
      </c>
      <c r="CD128" s="173">
        <f t="shared" ca="1" si="144"/>
        <v>14.649891737891737</v>
      </c>
      <c r="CE128" s="180"/>
      <c r="CF128" s="166">
        <f t="shared" ca="1" si="148"/>
        <v>38.280564556237778</v>
      </c>
      <c r="CG128" s="167">
        <f t="shared" ca="1" si="149"/>
        <v>7.6561129112475541</v>
      </c>
      <c r="CH128" s="167">
        <f t="shared" ca="1" si="149"/>
        <v>10.208150548330073</v>
      </c>
      <c r="CI128" s="167">
        <f t="shared" ca="1" si="149"/>
        <v>10.208150548330073</v>
      </c>
      <c r="CJ128" s="167">
        <f t="shared" ca="1" si="149"/>
        <v>10.208150548330073</v>
      </c>
      <c r="CK128" s="178"/>
    </row>
    <row r="129" spans="2:89" ht="14.4" thickBot="1">
      <c r="B129" s="283">
        <v>30</v>
      </c>
      <c r="C129" s="289">
        <v>71.599999999999994</v>
      </c>
      <c r="D129" s="290"/>
      <c r="E129" s="8" t="s">
        <v>15</v>
      </c>
      <c r="F129" s="9">
        <v>15.414999999999999</v>
      </c>
      <c r="G129" s="2">
        <v>19.3</v>
      </c>
      <c r="H129" s="2">
        <v>21.655000000000001</v>
      </c>
      <c r="I129" s="2">
        <v>23.585000000000001</v>
      </c>
      <c r="J129" s="2">
        <v>25.83</v>
      </c>
      <c r="K129" s="2">
        <v>27.1</v>
      </c>
      <c r="L129" s="2">
        <v>27.549999999999997</v>
      </c>
      <c r="M129" s="2">
        <v>31.184999999999999</v>
      </c>
      <c r="N129" s="2">
        <v>33.245000000000005</v>
      </c>
      <c r="O129" s="2">
        <v>35.32</v>
      </c>
      <c r="P129" s="2">
        <v>36.424999999999997</v>
      </c>
      <c r="Q129" s="2">
        <v>39.424999999999997</v>
      </c>
      <c r="R129" s="211">
        <f t="shared" ca="1" si="131"/>
        <v>36.55833333333333</v>
      </c>
      <c r="S129" s="152"/>
      <c r="T129" s="152"/>
      <c r="U129" s="146"/>
      <c r="V129" s="213"/>
      <c r="W129" s="152"/>
      <c r="X129" s="152"/>
      <c r="AC129" s="164" t="s">
        <v>152</v>
      </c>
      <c r="AD129" s="164">
        <v>48</v>
      </c>
      <c r="AE129" s="165">
        <v>9</v>
      </c>
      <c r="AF129" s="165">
        <v>12</v>
      </c>
      <c r="AG129" s="165">
        <v>12</v>
      </c>
      <c r="AH129" s="165">
        <v>18</v>
      </c>
      <c r="AI129" s="165"/>
      <c r="AJ129" s="501"/>
      <c r="AK129" s="166">
        <f t="shared" ca="1" si="104"/>
        <v>48.489999999999995</v>
      </c>
      <c r="AL129" s="167">
        <f t="shared" ca="1" si="132"/>
        <v>8.5570588235294114</v>
      </c>
      <c r="AM129" s="167">
        <f t="shared" ca="1" si="133"/>
        <v>11.409411764705881</v>
      </c>
      <c r="AN129" s="167">
        <f t="shared" ca="1" si="134"/>
        <v>11.409411764705881</v>
      </c>
      <c r="AO129" s="167">
        <f t="shared" ca="1" si="135"/>
        <v>17.114117647058823</v>
      </c>
      <c r="AP129" s="178"/>
      <c r="AQ129" s="169">
        <f t="shared" ca="1" si="145"/>
        <v>56.442000000000007</v>
      </c>
      <c r="AR129" s="170">
        <f ca="1">INDEX('Cap based on indoor unit SZ'!$J$6:$J$21,MATCH(AE129,'Cap based on indoor unit SZ'!$I$6:$I$21))</f>
        <v>10.463111111111111</v>
      </c>
      <c r="AS129" s="170">
        <f ca="1">INDEX('Cap based on indoor unit SZ'!$J$6:$J$21,MATCH(AF129,'Cap based on indoor unit SZ'!$I$6:$I$21))</f>
        <v>13.078888888888891</v>
      </c>
      <c r="AT129" s="170">
        <f ca="1">INDEX('Cap based on indoor unit SZ'!$J$6:$J$21,MATCH(AG129,'Cap based on indoor unit SZ'!$I$6:$I$21))</f>
        <v>13.078888888888891</v>
      </c>
      <c r="AU129" s="170">
        <f ca="1">INDEX('Cap based on indoor unit SZ'!$J$6:$J$21,MATCH(AH129,'Cap based on indoor unit SZ'!$I$6:$I$21))</f>
        <v>19.821111111111112</v>
      </c>
      <c r="AV129" s="179"/>
      <c r="AW129" s="169">
        <f t="shared" si="108"/>
        <v>47</v>
      </c>
      <c r="AX129" s="170">
        <v>9</v>
      </c>
      <c r="AY129" s="170">
        <v>11</v>
      </c>
      <c r="AZ129" s="170">
        <v>11</v>
      </c>
      <c r="BA129" s="170">
        <v>16</v>
      </c>
      <c r="BB129" s="179"/>
      <c r="BC129" s="172">
        <f t="shared" ca="1" si="146"/>
        <v>48.489999999999995</v>
      </c>
      <c r="BD129" s="173">
        <f t="shared" ca="1" si="136"/>
        <v>8.5570588235294114</v>
      </c>
      <c r="BE129" s="173">
        <f t="shared" ca="1" si="136"/>
        <v>11.409411764705881</v>
      </c>
      <c r="BF129" s="173">
        <f t="shared" ca="1" si="136"/>
        <v>11.409411764705881</v>
      </c>
      <c r="BG129" s="173">
        <f t="shared" ca="1" si="136"/>
        <v>17.114117647058823</v>
      </c>
      <c r="BH129" s="180"/>
      <c r="BI129" s="166">
        <f t="shared" ca="1" si="112"/>
        <v>54.937094017094019</v>
      </c>
      <c r="BJ129" s="167">
        <f t="shared" ca="1" si="137"/>
        <v>9.694781297134238</v>
      </c>
      <c r="BK129" s="167">
        <f t="shared" ca="1" si="138"/>
        <v>12.926375062845651</v>
      </c>
      <c r="BL129" s="167">
        <f t="shared" ca="1" si="139"/>
        <v>12.926375062845651</v>
      </c>
      <c r="BM129" s="167">
        <f t="shared" ca="1" si="140"/>
        <v>19.389562594268476</v>
      </c>
      <c r="BN129" s="178"/>
      <c r="BO129" s="169">
        <f t="shared" ca="1" si="147"/>
        <v>66.444892307692299</v>
      </c>
      <c r="BP129" s="170">
        <f ca="1">INDEX('Cap based on indoor unit SZ'!$V$43:$V$58,MATCH(AE129,'Cap based on indoor unit SZ'!$U$43:$U$58))</f>
        <v>11.956020512820512</v>
      </c>
      <c r="BQ129" s="170">
        <f ca="1">INDEX('Cap based on indoor unit SZ'!$V$43:$V$58,MATCH(AF129,'Cap based on indoor unit SZ'!$U$43:$U$58))</f>
        <v>14.945025641025641</v>
      </c>
      <c r="BR129" s="170">
        <f ca="1">INDEX('Cap based on indoor unit SZ'!$V$43:$V$58,MATCH(AG129,'Cap based on indoor unit SZ'!$U$43:$U$58))</f>
        <v>14.945025641025641</v>
      </c>
      <c r="BS129" s="170">
        <f ca="1">INDEX('Cap based on indoor unit SZ'!$V$43:$V$58,MATCH(AH129,'Cap based on indoor unit SZ'!$U$43:$U$58))</f>
        <v>24.598820512820513</v>
      </c>
      <c r="BT129" s="179"/>
      <c r="BU129" s="175">
        <v>9500</v>
      </c>
      <c r="BV129" s="175">
        <v>11500</v>
      </c>
      <c r="BW129" s="175">
        <v>11500</v>
      </c>
      <c r="BX129" s="175">
        <v>16500</v>
      </c>
      <c r="BY129" s="179"/>
      <c r="BZ129" s="172">
        <f t="shared" ca="1" si="116"/>
        <v>54.937094017094019</v>
      </c>
      <c r="CA129" s="173">
        <f t="shared" ca="1" si="141"/>
        <v>9.694781297134238</v>
      </c>
      <c r="CB129" s="173">
        <f t="shared" ca="1" si="142"/>
        <v>12.926375062845651</v>
      </c>
      <c r="CC129" s="173">
        <f t="shared" ca="1" si="143"/>
        <v>12.926375062845651</v>
      </c>
      <c r="CD129" s="173">
        <f t="shared" ca="1" si="144"/>
        <v>19.389562594268476</v>
      </c>
      <c r="CE129" s="180"/>
      <c r="CF129" s="166">
        <f t="shared" ca="1" si="148"/>
        <v>38.280564556237771</v>
      </c>
      <c r="CG129" s="167">
        <f t="shared" ca="1" si="149"/>
        <v>6.7553937452184298</v>
      </c>
      <c r="CH129" s="167">
        <f t="shared" ca="1" si="149"/>
        <v>9.0071916602912392</v>
      </c>
      <c r="CI129" s="167">
        <f t="shared" ca="1" si="149"/>
        <v>9.0071916602912392</v>
      </c>
      <c r="CJ129" s="167">
        <f t="shared" ca="1" si="149"/>
        <v>13.51078749043686</v>
      </c>
      <c r="CK129" s="178"/>
    </row>
    <row r="130" spans="2:89">
      <c r="B130" s="283">
        <v>36</v>
      </c>
      <c r="C130" s="285">
        <v>59</v>
      </c>
      <c r="D130" s="286"/>
      <c r="E130" s="8" t="s">
        <v>15</v>
      </c>
      <c r="F130" s="16">
        <v>23.435000000000002</v>
      </c>
      <c r="G130" s="2">
        <v>28.204999999999998</v>
      </c>
      <c r="H130" s="2">
        <v>30.28</v>
      </c>
      <c r="I130" s="2">
        <v>33.064999999999998</v>
      </c>
      <c r="J130" s="2">
        <v>36.064999999999998</v>
      </c>
      <c r="K130" s="2">
        <v>38.655000000000001</v>
      </c>
      <c r="L130" s="2">
        <v>39.265000000000001</v>
      </c>
      <c r="M130" s="2">
        <v>40.484999999999999</v>
      </c>
      <c r="N130" s="2">
        <v>42.400000000000006</v>
      </c>
      <c r="O130" s="2">
        <v>45.04</v>
      </c>
      <c r="P130" s="2">
        <v>55.94</v>
      </c>
      <c r="Q130" s="2">
        <v>61.83</v>
      </c>
      <c r="R130" s="195">
        <f t="shared" ca="1" si="131"/>
        <v>56.201777777777778</v>
      </c>
      <c r="S130" s="152"/>
      <c r="T130" s="152"/>
      <c r="U130" s="146" t="s">
        <v>96</v>
      </c>
      <c r="V130" s="147">
        <f ca="1">FORECAST(INDOOR_HEAT_DB,OFFSET(R130:R133,MATCH(INDOOR_HEAT_DB,C130:C133,1)-1,0,2),OFFSET(C130:C133,MATCH(INDOOR_HEAT_DB,C130:C133,1)-1,0,2))</f>
        <v>49.510333333333335</v>
      </c>
      <c r="W130" s="145">
        <f>B130</f>
        <v>36</v>
      </c>
      <c r="X130" s="147">
        <f ca="1">IF(OR(INDOOR_HEAT_DB&lt;C130,INDOOR_HEAT_DB&gt;C133),V132,V130)</f>
        <v>49.510333333333335</v>
      </c>
      <c r="AC130" s="164" t="s">
        <v>151</v>
      </c>
      <c r="AD130" s="164">
        <v>48</v>
      </c>
      <c r="AE130" s="165">
        <v>9</v>
      </c>
      <c r="AF130" s="165">
        <v>12</v>
      </c>
      <c r="AG130" s="165">
        <v>12</v>
      </c>
      <c r="AH130" s="165">
        <v>24</v>
      </c>
      <c r="AI130" s="165"/>
      <c r="AJ130" s="501"/>
      <c r="AK130" s="166">
        <f t="shared" ca="1" si="104"/>
        <v>48.489999999999995</v>
      </c>
      <c r="AL130" s="167">
        <f t="shared" ca="1" si="132"/>
        <v>7.6563157894736849</v>
      </c>
      <c r="AM130" s="167">
        <f t="shared" ca="1" si="133"/>
        <v>10.208421052631579</v>
      </c>
      <c r="AN130" s="167">
        <f t="shared" ca="1" si="134"/>
        <v>10.208421052631579</v>
      </c>
      <c r="AO130" s="167">
        <f t="shared" ca="1" si="135"/>
        <v>20.416842105263157</v>
      </c>
      <c r="AP130" s="178"/>
      <c r="AQ130" s="169">
        <f t="shared" ca="1" si="145"/>
        <v>61.07311111111111</v>
      </c>
      <c r="AR130" s="170">
        <f ca="1">INDEX('Cap based on indoor unit SZ'!$J$6:$J$21,MATCH(AE130,'Cap based on indoor unit SZ'!$I$6:$I$21))</f>
        <v>10.463111111111111</v>
      </c>
      <c r="AS130" s="170">
        <f ca="1">INDEX('Cap based on indoor unit SZ'!$J$6:$J$21,MATCH(AF130,'Cap based on indoor unit SZ'!$I$6:$I$21))</f>
        <v>13.078888888888891</v>
      </c>
      <c r="AT130" s="170">
        <f ca="1">INDEX('Cap based on indoor unit SZ'!$J$6:$J$21,MATCH(AG130,'Cap based on indoor unit SZ'!$I$6:$I$21))</f>
        <v>13.078888888888891</v>
      </c>
      <c r="AU130" s="170">
        <f ca="1">INDEX('Cap based on indoor unit SZ'!$J$6:$J$21,MATCH(AH130,'Cap based on indoor unit SZ'!$I$6:$I$21))</f>
        <v>24.452222222222218</v>
      </c>
      <c r="AV130" s="179"/>
      <c r="AW130" s="169">
        <f t="shared" si="108"/>
        <v>48.5</v>
      </c>
      <c r="AX130" s="170">
        <v>8.5</v>
      </c>
      <c r="AY130" s="170">
        <v>10</v>
      </c>
      <c r="AZ130" s="170">
        <v>10</v>
      </c>
      <c r="BA130" s="170">
        <v>20</v>
      </c>
      <c r="BB130" s="179"/>
      <c r="BC130" s="172">
        <f t="shared" ca="1" si="146"/>
        <v>48.489999999999995</v>
      </c>
      <c r="BD130" s="173">
        <f t="shared" ca="1" si="136"/>
        <v>7.6563157894736849</v>
      </c>
      <c r="BE130" s="173">
        <f t="shared" ca="1" si="136"/>
        <v>10.208421052631579</v>
      </c>
      <c r="BF130" s="173">
        <f t="shared" ca="1" si="136"/>
        <v>10.208421052631579</v>
      </c>
      <c r="BG130" s="173">
        <f t="shared" ca="1" si="136"/>
        <v>20.416842105263157</v>
      </c>
      <c r="BH130" s="180"/>
      <c r="BI130" s="166">
        <f t="shared" ca="1" si="112"/>
        <v>54.937094017094026</v>
      </c>
      <c r="BJ130" s="167">
        <f t="shared" ca="1" si="137"/>
        <v>8.6742780026990562</v>
      </c>
      <c r="BK130" s="167">
        <f t="shared" ca="1" si="138"/>
        <v>11.565704003598741</v>
      </c>
      <c r="BL130" s="167">
        <f t="shared" ca="1" si="139"/>
        <v>11.565704003598741</v>
      </c>
      <c r="BM130" s="167">
        <f t="shared" ca="1" si="140"/>
        <v>23.131408007197482</v>
      </c>
      <c r="BN130" s="178"/>
      <c r="BO130" s="169">
        <f t="shared" ca="1" si="147"/>
        <v>72.136071794871796</v>
      </c>
      <c r="BP130" s="170">
        <f ca="1">INDEX('Cap based on indoor unit SZ'!$V$43:$V$58,MATCH(AE130,'Cap based on indoor unit SZ'!$U$43:$U$58))</f>
        <v>11.956020512820512</v>
      </c>
      <c r="BQ130" s="170">
        <f ca="1">INDEX('Cap based on indoor unit SZ'!$V$43:$V$58,MATCH(AF130,'Cap based on indoor unit SZ'!$U$43:$U$58))</f>
        <v>14.945025641025641</v>
      </c>
      <c r="BR130" s="170">
        <f ca="1">INDEX('Cap based on indoor unit SZ'!$V$43:$V$58,MATCH(AG130,'Cap based on indoor unit SZ'!$U$43:$U$58))</f>
        <v>14.945025641025641</v>
      </c>
      <c r="BS130" s="170">
        <f ca="1">INDEX('Cap based on indoor unit SZ'!$V$43:$V$58,MATCH(AH130,'Cap based on indoor unit SZ'!$U$43:$U$58))</f>
        <v>30.290000000000003</v>
      </c>
      <c r="BT130" s="179"/>
      <c r="BU130" s="175">
        <v>9000</v>
      </c>
      <c r="BV130" s="175">
        <v>10500</v>
      </c>
      <c r="BW130" s="175">
        <v>10500</v>
      </c>
      <c r="BX130" s="175">
        <v>20500</v>
      </c>
      <c r="BY130" s="179"/>
      <c r="BZ130" s="172">
        <f t="shared" ca="1" si="116"/>
        <v>54.937094017094026</v>
      </c>
      <c r="CA130" s="173">
        <f t="shared" ca="1" si="141"/>
        <v>8.6742780026990562</v>
      </c>
      <c r="CB130" s="173">
        <f t="shared" ca="1" si="142"/>
        <v>11.565704003598741</v>
      </c>
      <c r="CC130" s="173">
        <f t="shared" ca="1" si="143"/>
        <v>11.565704003598741</v>
      </c>
      <c r="CD130" s="173">
        <f t="shared" ca="1" si="144"/>
        <v>23.131408007197482</v>
      </c>
      <c r="CE130" s="180"/>
      <c r="CF130" s="166">
        <f t="shared" ca="1" si="148"/>
        <v>38.280564556237771</v>
      </c>
      <c r="CG130" s="167">
        <f t="shared" ca="1" si="149"/>
        <v>6.0442996667743856</v>
      </c>
      <c r="CH130" s="167">
        <f t="shared" ca="1" si="149"/>
        <v>8.0590662223658462</v>
      </c>
      <c r="CI130" s="167">
        <f t="shared" ca="1" si="149"/>
        <v>8.0590662223658462</v>
      </c>
      <c r="CJ130" s="167">
        <f t="shared" ca="1" si="149"/>
        <v>16.118132444731692</v>
      </c>
      <c r="CK130" s="178"/>
    </row>
    <row r="131" spans="2:89">
      <c r="B131" s="283">
        <v>36</v>
      </c>
      <c r="C131" s="287">
        <v>64.400000000000006</v>
      </c>
      <c r="D131" s="288"/>
      <c r="E131" s="8" t="s">
        <v>15</v>
      </c>
      <c r="F131" s="16">
        <v>23.14</v>
      </c>
      <c r="G131" s="2">
        <v>27.835000000000001</v>
      </c>
      <c r="H131" s="2">
        <v>29.880000000000003</v>
      </c>
      <c r="I131" s="2">
        <v>32.614999999999995</v>
      </c>
      <c r="J131" s="2">
        <v>35.72</v>
      </c>
      <c r="K131" s="2">
        <v>38.075000000000003</v>
      </c>
      <c r="L131" s="2">
        <v>38.674999999999997</v>
      </c>
      <c r="M131" s="2">
        <v>39.875</v>
      </c>
      <c r="N131" s="2">
        <v>41.775000000000006</v>
      </c>
      <c r="O131" s="2">
        <v>44.365000000000002</v>
      </c>
      <c r="P131" s="2">
        <v>55.11</v>
      </c>
      <c r="Q131" s="2">
        <v>60.914999999999999</v>
      </c>
      <c r="R131" s="203">
        <f t="shared" ca="1" si="131"/>
        <v>55.368000000000002</v>
      </c>
      <c r="S131" s="152"/>
      <c r="T131" s="152"/>
      <c r="U131" s="146"/>
      <c r="V131" s="148"/>
      <c r="W131" s="145"/>
      <c r="X131" s="152"/>
      <c r="AC131" s="164" t="s">
        <v>150</v>
      </c>
      <c r="AD131" s="164">
        <v>48</v>
      </c>
      <c r="AE131" s="165">
        <v>9</v>
      </c>
      <c r="AF131" s="165">
        <v>12</v>
      </c>
      <c r="AG131" s="165">
        <v>18</v>
      </c>
      <c r="AH131" s="165">
        <v>18</v>
      </c>
      <c r="AI131" s="165"/>
      <c r="AJ131" s="501"/>
      <c r="AK131" s="166">
        <f t="shared" ca="1" si="104"/>
        <v>48.49</v>
      </c>
      <c r="AL131" s="167">
        <f t="shared" ca="1" si="132"/>
        <v>7.656315789473684</v>
      </c>
      <c r="AM131" s="167">
        <f t="shared" ca="1" si="133"/>
        <v>10.208421052631579</v>
      </c>
      <c r="AN131" s="167">
        <f t="shared" ca="1" si="134"/>
        <v>15.312631578947368</v>
      </c>
      <c r="AO131" s="167">
        <f t="shared" ca="1" si="135"/>
        <v>15.312631578947368</v>
      </c>
      <c r="AP131" s="178"/>
      <c r="AQ131" s="169">
        <f t="shared" ca="1" si="145"/>
        <v>63.184222222222218</v>
      </c>
      <c r="AR131" s="170">
        <f ca="1">INDEX('Cap based on indoor unit SZ'!$J$6:$J$21,MATCH(AE131,'Cap based on indoor unit SZ'!$I$6:$I$21))</f>
        <v>10.463111111111111</v>
      </c>
      <c r="AS131" s="170">
        <f ca="1">INDEX('Cap based on indoor unit SZ'!$J$6:$J$21,MATCH(AF131,'Cap based on indoor unit SZ'!$I$6:$I$21))</f>
        <v>13.078888888888891</v>
      </c>
      <c r="AT131" s="170">
        <f ca="1">INDEX('Cap based on indoor unit SZ'!$J$6:$J$21,MATCH(AG131,'Cap based on indoor unit SZ'!$I$6:$I$21))</f>
        <v>19.821111111111112</v>
      </c>
      <c r="AU131" s="170">
        <f ca="1">INDEX('Cap based on indoor unit SZ'!$J$6:$J$21,MATCH(AH131,'Cap based on indoor unit SZ'!$I$6:$I$21))</f>
        <v>19.821111111111112</v>
      </c>
      <c r="AV131" s="179"/>
      <c r="AW131" s="169">
        <f t="shared" si="108"/>
        <v>48.5</v>
      </c>
      <c r="AX131" s="170">
        <v>8.5</v>
      </c>
      <c r="AY131" s="170">
        <v>10</v>
      </c>
      <c r="AZ131" s="170">
        <v>15</v>
      </c>
      <c r="BA131" s="170">
        <v>15</v>
      </c>
      <c r="BB131" s="179"/>
      <c r="BC131" s="172">
        <f t="shared" ca="1" si="146"/>
        <v>48.49</v>
      </c>
      <c r="BD131" s="173">
        <f t="shared" ca="1" si="136"/>
        <v>7.656315789473684</v>
      </c>
      <c r="BE131" s="173">
        <f t="shared" ca="1" si="136"/>
        <v>10.208421052631579</v>
      </c>
      <c r="BF131" s="173">
        <f t="shared" ca="1" si="136"/>
        <v>15.312631578947368</v>
      </c>
      <c r="BG131" s="173">
        <f t="shared" ca="1" si="136"/>
        <v>15.312631578947368</v>
      </c>
      <c r="BH131" s="180"/>
      <c r="BI131" s="166">
        <f t="shared" ca="1" si="112"/>
        <v>54.937094017094012</v>
      </c>
      <c r="BJ131" s="167">
        <f t="shared" ca="1" si="137"/>
        <v>8.6742780026990545</v>
      </c>
      <c r="BK131" s="167">
        <f t="shared" ca="1" si="138"/>
        <v>11.565704003598739</v>
      </c>
      <c r="BL131" s="167">
        <f t="shared" ca="1" si="139"/>
        <v>17.348556005398109</v>
      </c>
      <c r="BM131" s="167">
        <f t="shared" ca="1" si="140"/>
        <v>17.348556005398109</v>
      </c>
      <c r="BN131" s="178"/>
      <c r="BO131" s="169">
        <f t="shared" ca="1" si="147"/>
        <v>76.098687179487172</v>
      </c>
      <c r="BP131" s="170">
        <f ca="1">INDEX('Cap based on indoor unit SZ'!$V$43:$V$58,MATCH(AE131,'Cap based on indoor unit SZ'!$U$43:$U$58))</f>
        <v>11.956020512820512</v>
      </c>
      <c r="BQ131" s="170">
        <f ca="1">INDEX('Cap based on indoor unit SZ'!$V$43:$V$58,MATCH(AF131,'Cap based on indoor unit SZ'!$U$43:$U$58))</f>
        <v>14.945025641025641</v>
      </c>
      <c r="BR131" s="170">
        <f ca="1">INDEX('Cap based on indoor unit SZ'!$V$43:$V$58,MATCH(AG131,'Cap based on indoor unit SZ'!$U$43:$U$58))</f>
        <v>24.598820512820513</v>
      </c>
      <c r="BS131" s="170">
        <f ca="1">INDEX('Cap based on indoor unit SZ'!$V$43:$V$58,MATCH(AH131,'Cap based on indoor unit SZ'!$U$43:$U$58))</f>
        <v>24.598820512820513</v>
      </c>
      <c r="BT131" s="179"/>
      <c r="BU131" s="175">
        <v>9000</v>
      </c>
      <c r="BV131" s="175">
        <v>10500</v>
      </c>
      <c r="BW131" s="175">
        <v>15500</v>
      </c>
      <c r="BX131" s="175">
        <v>15500</v>
      </c>
      <c r="BY131" s="179"/>
      <c r="BZ131" s="172">
        <f t="shared" ca="1" si="116"/>
        <v>54.937094017094012</v>
      </c>
      <c r="CA131" s="173">
        <f t="shared" ca="1" si="141"/>
        <v>8.6742780026990545</v>
      </c>
      <c r="CB131" s="173">
        <f t="shared" ca="1" si="142"/>
        <v>11.565704003598739</v>
      </c>
      <c r="CC131" s="173">
        <f t="shared" ca="1" si="143"/>
        <v>17.348556005398109</v>
      </c>
      <c r="CD131" s="173">
        <f t="shared" ca="1" si="144"/>
        <v>17.348556005398109</v>
      </c>
      <c r="CE131" s="180"/>
      <c r="CF131" s="166">
        <f t="shared" ca="1" si="148"/>
        <v>38.280564556237771</v>
      </c>
      <c r="CG131" s="167">
        <f t="shared" ca="1" si="149"/>
        <v>6.0442996667743847</v>
      </c>
      <c r="CH131" s="167">
        <f t="shared" ca="1" si="149"/>
        <v>8.0590662223658462</v>
      </c>
      <c r="CI131" s="167">
        <f t="shared" ca="1" si="149"/>
        <v>12.088599333548769</v>
      </c>
      <c r="CJ131" s="167">
        <f t="shared" ca="1" si="149"/>
        <v>12.088599333548769</v>
      </c>
      <c r="CK131" s="178"/>
    </row>
    <row r="132" spans="2:89">
      <c r="B132" s="283">
        <v>36</v>
      </c>
      <c r="C132" s="289">
        <v>69</v>
      </c>
      <c r="D132" s="290"/>
      <c r="E132" s="8" t="s">
        <v>15</v>
      </c>
      <c r="F132" s="16">
        <v>22.66</v>
      </c>
      <c r="G132" s="2">
        <v>27.245000000000001</v>
      </c>
      <c r="H132" s="2">
        <v>28.57</v>
      </c>
      <c r="I132" s="2">
        <v>31.259999999999998</v>
      </c>
      <c r="J132" s="2">
        <v>35.61</v>
      </c>
      <c r="K132" s="2">
        <v>36.81</v>
      </c>
      <c r="L132" s="2">
        <v>37.14</v>
      </c>
      <c r="M132" s="2">
        <v>39.130000000000003</v>
      </c>
      <c r="N132" s="2">
        <v>41.71</v>
      </c>
      <c r="O132" s="2">
        <v>45.71</v>
      </c>
      <c r="P132" s="2">
        <v>49.724999999999994</v>
      </c>
      <c r="Q132" s="2">
        <v>53.494999999999997</v>
      </c>
      <c r="R132" s="203">
        <f t="shared" ca="1" si="131"/>
        <v>49.892555555555553</v>
      </c>
      <c r="S132" s="152"/>
      <c r="T132" s="152"/>
      <c r="U132" s="146" t="s">
        <v>97</v>
      </c>
      <c r="V132" s="147">
        <f ca="1">TREND(R130:R133,C130:C133,INDOOR_HEAT_DB)</f>
        <v>50.045002659317284</v>
      </c>
      <c r="W132" s="145"/>
      <c r="X132" s="152"/>
      <c r="AC132" s="164" t="s">
        <v>149</v>
      </c>
      <c r="AD132" s="164">
        <v>48</v>
      </c>
      <c r="AE132" s="165">
        <v>9</v>
      </c>
      <c r="AF132" s="165">
        <v>18</v>
      </c>
      <c r="AG132" s="165">
        <v>18</v>
      </c>
      <c r="AH132" s="165">
        <v>18</v>
      </c>
      <c r="AI132" s="165"/>
      <c r="AJ132" s="501"/>
      <c r="AK132" s="166">
        <f t="shared" ca="1" si="104"/>
        <v>48.489999999999995</v>
      </c>
      <c r="AL132" s="167">
        <f t="shared" ca="1" si="132"/>
        <v>6.9271428571428562</v>
      </c>
      <c r="AM132" s="167">
        <f t="shared" ca="1" si="133"/>
        <v>13.854285714285712</v>
      </c>
      <c r="AN132" s="167">
        <f t="shared" ca="1" si="134"/>
        <v>13.854285714285712</v>
      </c>
      <c r="AO132" s="167">
        <f t="shared" ca="1" si="135"/>
        <v>13.854285714285712</v>
      </c>
      <c r="AP132" s="178"/>
      <c r="AQ132" s="169">
        <f t="shared" ca="1" si="145"/>
        <v>69.926444444444442</v>
      </c>
      <c r="AR132" s="170">
        <f ca="1">INDEX('Cap based on indoor unit SZ'!$J$6:$J$21,MATCH(AE132,'Cap based on indoor unit SZ'!$I$6:$I$21))</f>
        <v>10.463111111111111</v>
      </c>
      <c r="AS132" s="170">
        <f ca="1">INDEX('Cap based on indoor unit SZ'!$J$6:$J$21,MATCH(AF132,'Cap based on indoor unit SZ'!$I$6:$I$21))</f>
        <v>19.821111111111112</v>
      </c>
      <c r="AT132" s="170">
        <f ca="1">INDEX('Cap based on indoor unit SZ'!$J$6:$J$21,MATCH(AG132,'Cap based on indoor unit SZ'!$I$6:$I$21))</f>
        <v>19.821111111111112</v>
      </c>
      <c r="AU132" s="170">
        <f ca="1">INDEX('Cap based on indoor unit SZ'!$J$6:$J$21,MATCH(AH132,'Cap based on indoor unit SZ'!$I$6:$I$21))</f>
        <v>19.821111111111112</v>
      </c>
      <c r="AV132" s="179"/>
      <c r="AW132" s="169">
        <f t="shared" si="108"/>
        <v>50</v>
      </c>
      <c r="AX132" s="170">
        <v>8</v>
      </c>
      <c r="AY132" s="170">
        <v>14</v>
      </c>
      <c r="AZ132" s="170">
        <v>14</v>
      </c>
      <c r="BA132" s="170">
        <v>14</v>
      </c>
      <c r="BB132" s="179"/>
      <c r="BC132" s="172">
        <f t="shared" ca="1" si="146"/>
        <v>48.489999999999995</v>
      </c>
      <c r="BD132" s="173">
        <f t="shared" ca="1" si="136"/>
        <v>6.9271428571428562</v>
      </c>
      <c r="BE132" s="173">
        <f t="shared" ca="1" si="136"/>
        <v>13.854285714285712</v>
      </c>
      <c r="BF132" s="173">
        <f t="shared" ca="1" si="136"/>
        <v>13.854285714285712</v>
      </c>
      <c r="BG132" s="173">
        <f t="shared" ca="1" si="136"/>
        <v>13.854285714285712</v>
      </c>
      <c r="BH132" s="180"/>
      <c r="BI132" s="166">
        <f t="shared" ca="1" si="112"/>
        <v>54.937094017094012</v>
      </c>
      <c r="BJ132" s="167">
        <f t="shared" ca="1" si="137"/>
        <v>7.8481562881562876</v>
      </c>
      <c r="BK132" s="167">
        <f t="shared" ca="1" si="138"/>
        <v>15.696312576312575</v>
      </c>
      <c r="BL132" s="167">
        <f t="shared" ca="1" si="139"/>
        <v>15.696312576312575</v>
      </c>
      <c r="BM132" s="167">
        <f t="shared" ca="1" si="140"/>
        <v>15.696312576312575</v>
      </c>
      <c r="BN132" s="178"/>
      <c r="BO132" s="169">
        <f t="shared" ca="1" si="147"/>
        <v>85.752482051282044</v>
      </c>
      <c r="BP132" s="170">
        <f ca="1">INDEX('Cap based on indoor unit SZ'!$V$43:$V$58,MATCH(AE132,'Cap based on indoor unit SZ'!$U$43:$U$58))</f>
        <v>11.956020512820512</v>
      </c>
      <c r="BQ132" s="170">
        <f ca="1">INDEX('Cap based on indoor unit SZ'!$V$43:$V$58,MATCH(AF132,'Cap based on indoor unit SZ'!$U$43:$U$58))</f>
        <v>24.598820512820513</v>
      </c>
      <c r="BR132" s="170">
        <f ca="1">INDEX('Cap based on indoor unit SZ'!$V$43:$V$58,MATCH(AG132,'Cap based on indoor unit SZ'!$U$43:$U$58))</f>
        <v>24.598820512820513</v>
      </c>
      <c r="BS132" s="170">
        <f ca="1">INDEX('Cap based on indoor unit SZ'!$V$43:$V$58,MATCH(AH132,'Cap based on indoor unit SZ'!$U$43:$U$58))</f>
        <v>24.598820512820513</v>
      </c>
      <c r="BT132" s="179"/>
      <c r="BU132" s="175">
        <v>8500</v>
      </c>
      <c r="BV132" s="175">
        <v>14500</v>
      </c>
      <c r="BW132" s="175">
        <v>14500</v>
      </c>
      <c r="BX132" s="175">
        <v>14500</v>
      </c>
      <c r="BY132" s="179"/>
      <c r="BZ132" s="172">
        <f t="shared" ca="1" si="116"/>
        <v>54.937094017094012</v>
      </c>
      <c r="CA132" s="173">
        <f t="shared" ca="1" si="141"/>
        <v>7.8481562881562876</v>
      </c>
      <c r="CB132" s="173">
        <f t="shared" ca="1" si="142"/>
        <v>15.696312576312575</v>
      </c>
      <c r="CC132" s="173">
        <f t="shared" ca="1" si="143"/>
        <v>15.696312576312575</v>
      </c>
      <c r="CD132" s="173">
        <f t="shared" ca="1" si="144"/>
        <v>15.696312576312575</v>
      </c>
      <c r="CE132" s="180"/>
      <c r="CF132" s="166">
        <f t="shared" ca="1" si="148"/>
        <v>38.280564556237763</v>
      </c>
      <c r="CG132" s="167">
        <f t="shared" ca="1" si="149"/>
        <v>5.4686520794625375</v>
      </c>
      <c r="CH132" s="167">
        <f t="shared" ca="1" si="149"/>
        <v>10.937304158925075</v>
      </c>
      <c r="CI132" s="167">
        <f t="shared" ca="1" si="149"/>
        <v>10.937304158925075</v>
      </c>
      <c r="CJ132" s="167">
        <f t="shared" ca="1" si="149"/>
        <v>10.937304158925075</v>
      </c>
      <c r="CK132" s="178"/>
    </row>
    <row r="133" spans="2:89" ht="14.4" thickBot="1">
      <c r="B133" s="283">
        <v>36</v>
      </c>
      <c r="C133" s="285">
        <v>71.599999999999994</v>
      </c>
      <c r="D133" s="286"/>
      <c r="E133" s="8" t="s">
        <v>15</v>
      </c>
      <c r="F133" s="16">
        <v>22.265000000000001</v>
      </c>
      <c r="G133" s="2">
        <v>26.759999999999998</v>
      </c>
      <c r="H133" s="2">
        <v>28.060000000000002</v>
      </c>
      <c r="I133" s="2">
        <v>30.7</v>
      </c>
      <c r="J133" s="2">
        <v>34.58</v>
      </c>
      <c r="K133" s="2">
        <v>36.069999999999993</v>
      </c>
      <c r="L133" s="2">
        <v>36.394999999999996</v>
      </c>
      <c r="M133" s="2">
        <v>38.344999999999999</v>
      </c>
      <c r="N133" s="2">
        <v>40.870000000000005</v>
      </c>
      <c r="O133" s="2">
        <v>44.795000000000002</v>
      </c>
      <c r="P133" s="2">
        <v>48.734999999999999</v>
      </c>
      <c r="Q133" s="2">
        <v>52.42</v>
      </c>
      <c r="R133" s="211">
        <f t="shared" ca="1" si="131"/>
        <v>48.898777777777781</v>
      </c>
      <c r="S133" s="152"/>
      <c r="T133" s="152"/>
      <c r="U133" s="146"/>
      <c r="V133" s="152"/>
      <c r="W133" s="152"/>
      <c r="X133" s="152"/>
      <c r="AC133" s="164" t="s">
        <v>148</v>
      </c>
      <c r="AD133" s="164">
        <v>48</v>
      </c>
      <c r="AE133" s="165">
        <v>12</v>
      </c>
      <c r="AF133" s="165">
        <v>12</v>
      </c>
      <c r="AG133" s="165">
        <v>12</v>
      </c>
      <c r="AH133" s="165">
        <v>12</v>
      </c>
      <c r="AI133" s="165"/>
      <c r="AJ133" s="501"/>
      <c r="AK133" s="166">
        <f t="shared" ca="1" si="104"/>
        <v>48.489999999999995</v>
      </c>
      <c r="AL133" s="167">
        <f t="shared" ca="1" si="132"/>
        <v>12.122499999999999</v>
      </c>
      <c r="AM133" s="167">
        <f t="shared" ca="1" si="133"/>
        <v>12.122499999999999</v>
      </c>
      <c r="AN133" s="167">
        <f t="shared" ca="1" si="134"/>
        <v>12.122499999999999</v>
      </c>
      <c r="AO133" s="167">
        <f t="shared" ca="1" si="135"/>
        <v>12.122499999999999</v>
      </c>
      <c r="AP133" s="178"/>
      <c r="AQ133" s="169">
        <f t="shared" ca="1" si="145"/>
        <v>52.315555555555562</v>
      </c>
      <c r="AR133" s="170">
        <f ca="1">INDEX('Cap based on indoor unit SZ'!$J$6:$J$21,MATCH(AE133,'Cap based on indoor unit SZ'!$I$6:$I$21))</f>
        <v>13.078888888888891</v>
      </c>
      <c r="AS133" s="170">
        <f ca="1">INDEX('Cap based on indoor unit SZ'!$J$6:$J$21,MATCH(AF133,'Cap based on indoor unit SZ'!$I$6:$I$21))</f>
        <v>13.078888888888891</v>
      </c>
      <c r="AT133" s="170">
        <f ca="1">INDEX('Cap based on indoor unit SZ'!$J$6:$J$21,MATCH(AG133,'Cap based on indoor unit SZ'!$I$6:$I$21))</f>
        <v>13.078888888888891</v>
      </c>
      <c r="AU133" s="170">
        <f ca="1">INDEX('Cap based on indoor unit SZ'!$J$6:$J$21,MATCH(AH133,'Cap based on indoor unit SZ'!$I$6:$I$21))</f>
        <v>13.078888888888891</v>
      </c>
      <c r="AV133" s="179"/>
      <c r="AW133" s="169">
        <f t="shared" si="108"/>
        <v>48</v>
      </c>
      <c r="AX133" s="170">
        <v>12</v>
      </c>
      <c r="AY133" s="170">
        <v>12</v>
      </c>
      <c r="AZ133" s="170">
        <v>12</v>
      </c>
      <c r="BA133" s="170">
        <v>12</v>
      </c>
      <c r="BB133" s="179"/>
      <c r="BC133" s="172">
        <f t="shared" ca="1" si="146"/>
        <v>48.489999999999995</v>
      </c>
      <c r="BD133" s="173">
        <f t="shared" ca="1" si="136"/>
        <v>12.122499999999999</v>
      </c>
      <c r="BE133" s="173">
        <f t="shared" ca="1" si="136"/>
        <v>12.122499999999999</v>
      </c>
      <c r="BF133" s="173">
        <f t="shared" ca="1" si="136"/>
        <v>12.122499999999999</v>
      </c>
      <c r="BG133" s="173">
        <f t="shared" ca="1" si="136"/>
        <v>12.122499999999999</v>
      </c>
      <c r="BH133" s="180"/>
      <c r="BI133" s="166">
        <f t="shared" ca="1" si="112"/>
        <v>54.937094017094012</v>
      </c>
      <c r="BJ133" s="167">
        <f t="shared" ca="1" si="137"/>
        <v>13.734273504273503</v>
      </c>
      <c r="BK133" s="167">
        <f t="shared" ca="1" si="138"/>
        <v>13.734273504273503</v>
      </c>
      <c r="BL133" s="167">
        <f t="shared" ca="1" si="139"/>
        <v>13.734273504273503</v>
      </c>
      <c r="BM133" s="167">
        <f t="shared" ca="1" si="140"/>
        <v>13.734273504273503</v>
      </c>
      <c r="BN133" s="178"/>
      <c r="BO133" s="169">
        <f t="shared" ca="1" si="147"/>
        <v>59.780102564102563</v>
      </c>
      <c r="BP133" s="170">
        <f ca="1">INDEX('Cap based on indoor unit SZ'!$V$43:$V$58,MATCH(AE133,'Cap based on indoor unit SZ'!$U$43:$U$58))</f>
        <v>14.945025641025641</v>
      </c>
      <c r="BQ133" s="170">
        <f ca="1">INDEX('Cap based on indoor unit SZ'!$V$43:$V$58,MATCH(AF133,'Cap based on indoor unit SZ'!$U$43:$U$58))</f>
        <v>14.945025641025641</v>
      </c>
      <c r="BR133" s="170">
        <f ca="1">INDEX('Cap based on indoor unit SZ'!$V$43:$V$58,MATCH(AG133,'Cap based on indoor unit SZ'!$U$43:$U$58))</f>
        <v>14.945025641025641</v>
      </c>
      <c r="BS133" s="170">
        <f ca="1">INDEX('Cap based on indoor unit SZ'!$V$43:$V$58,MATCH(AH133,'Cap based on indoor unit SZ'!$U$43:$U$58))</f>
        <v>14.945025641025641</v>
      </c>
      <c r="BT133" s="179"/>
      <c r="BU133" s="175">
        <v>12500</v>
      </c>
      <c r="BV133" s="175">
        <v>12500</v>
      </c>
      <c r="BW133" s="175">
        <v>12500</v>
      </c>
      <c r="BX133" s="175">
        <v>12500</v>
      </c>
      <c r="BY133" s="179"/>
      <c r="BZ133" s="172">
        <f t="shared" ca="1" si="116"/>
        <v>54.937094017094012</v>
      </c>
      <c r="CA133" s="173">
        <f t="shared" ca="1" si="141"/>
        <v>13.734273504273503</v>
      </c>
      <c r="CB133" s="173">
        <f t="shared" ca="1" si="142"/>
        <v>13.734273504273503</v>
      </c>
      <c r="CC133" s="173">
        <f t="shared" ca="1" si="143"/>
        <v>13.734273504273503</v>
      </c>
      <c r="CD133" s="173">
        <f t="shared" ca="1" si="144"/>
        <v>13.734273504273503</v>
      </c>
      <c r="CE133" s="180"/>
      <c r="CF133" s="166">
        <f t="shared" ca="1" si="148"/>
        <v>38.280564556237763</v>
      </c>
      <c r="CG133" s="167">
        <f t="shared" ca="1" si="149"/>
        <v>9.5701411390594409</v>
      </c>
      <c r="CH133" s="167">
        <f t="shared" ca="1" si="149"/>
        <v>9.5701411390594409</v>
      </c>
      <c r="CI133" s="167">
        <f t="shared" ca="1" si="149"/>
        <v>9.5701411390594409</v>
      </c>
      <c r="CJ133" s="167">
        <f t="shared" ca="1" si="149"/>
        <v>9.5701411390594409</v>
      </c>
      <c r="CK133" s="178"/>
    </row>
    <row r="134" spans="2:89">
      <c r="B134" s="283">
        <v>48</v>
      </c>
      <c r="C134" s="287">
        <v>59</v>
      </c>
      <c r="D134" s="288"/>
      <c r="E134" s="8" t="s">
        <v>15</v>
      </c>
      <c r="F134" s="16">
        <v>23.585000000000001</v>
      </c>
      <c r="G134" s="2">
        <v>28.385000000000002</v>
      </c>
      <c r="H134" s="2">
        <v>30.47</v>
      </c>
      <c r="I134" s="2">
        <v>33.274999999999999</v>
      </c>
      <c r="J134" s="2">
        <v>36.995000000000005</v>
      </c>
      <c r="K134" s="2">
        <v>38.894999999999996</v>
      </c>
      <c r="L134" s="2">
        <v>39.51</v>
      </c>
      <c r="M134" s="2">
        <v>40.739999999999995</v>
      </c>
      <c r="N134" s="2">
        <v>42.67</v>
      </c>
      <c r="O134" s="2">
        <v>45.32</v>
      </c>
      <c r="P134" s="2">
        <v>56.29</v>
      </c>
      <c r="Q134" s="2">
        <v>66.58</v>
      </c>
      <c r="R134" s="203">
        <f t="shared" ca="1" si="131"/>
        <v>56.747333333333337</v>
      </c>
      <c r="S134" s="152"/>
      <c r="T134" s="152"/>
      <c r="U134" s="146" t="s">
        <v>96</v>
      </c>
      <c r="V134" s="147">
        <f ca="1">FORECAST(INDOOR_HEAT_DB,OFFSET(R134:R137,MATCH(INDOOR_HEAT_DB,C134:C137,1)-1,0,2),OFFSET(C134:C137,MATCH(INDOOR_HEAT_DB,C134:C137,1)-1,0,2))</f>
        <v>54.937094017094012</v>
      </c>
      <c r="W134" s="145">
        <f>B134</f>
        <v>48</v>
      </c>
      <c r="X134" s="147">
        <f ca="1">IF(OR(INDOOR_HEAT_DB&lt;C134,INDOOR_HEAT_DB&gt;C137),V136,V134)</f>
        <v>54.937094017094012</v>
      </c>
      <c r="AC134" s="164" t="s">
        <v>147</v>
      </c>
      <c r="AD134" s="164">
        <v>48</v>
      </c>
      <c r="AE134" s="165">
        <v>12</v>
      </c>
      <c r="AF134" s="165">
        <v>12</v>
      </c>
      <c r="AG134" s="165">
        <v>12</v>
      </c>
      <c r="AH134" s="165">
        <v>18</v>
      </c>
      <c r="AI134" s="165"/>
      <c r="AJ134" s="501"/>
      <c r="AK134" s="166">
        <f t="shared" ca="1" si="104"/>
        <v>48.489999999999981</v>
      </c>
      <c r="AL134" s="167">
        <f t="shared" ca="1" si="132"/>
        <v>10.775555555555552</v>
      </c>
      <c r="AM134" s="167">
        <f t="shared" ca="1" si="133"/>
        <v>10.775555555555552</v>
      </c>
      <c r="AN134" s="167">
        <f t="shared" ca="1" si="134"/>
        <v>10.775555555555552</v>
      </c>
      <c r="AO134" s="167">
        <f t="shared" ca="1" si="135"/>
        <v>16.16333333333333</v>
      </c>
      <c r="AP134" s="178"/>
      <c r="AQ134" s="169">
        <f t="shared" ca="1" si="145"/>
        <v>59.057777777777787</v>
      </c>
      <c r="AR134" s="170">
        <f ca="1">INDEX('Cap based on indoor unit SZ'!$J$6:$J$21,MATCH(AE134,'Cap based on indoor unit SZ'!$I$6:$I$21))</f>
        <v>13.078888888888891</v>
      </c>
      <c r="AS134" s="170">
        <f ca="1">INDEX('Cap based on indoor unit SZ'!$J$6:$J$21,MATCH(AF134,'Cap based on indoor unit SZ'!$I$6:$I$21))</f>
        <v>13.078888888888891</v>
      </c>
      <c r="AT134" s="170">
        <f ca="1">INDEX('Cap based on indoor unit SZ'!$J$6:$J$21,MATCH(AG134,'Cap based on indoor unit SZ'!$I$6:$I$21))</f>
        <v>13.078888888888891</v>
      </c>
      <c r="AU134" s="170">
        <f ca="1">INDEX('Cap based on indoor unit SZ'!$J$6:$J$21,MATCH(AH134,'Cap based on indoor unit SZ'!$I$6:$I$21))</f>
        <v>19.821111111111112</v>
      </c>
      <c r="AV134" s="179"/>
      <c r="AW134" s="169">
        <f t="shared" si="108"/>
        <v>49</v>
      </c>
      <c r="AX134" s="170">
        <v>11</v>
      </c>
      <c r="AY134" s="170">
        <v>11</v>
      </c>
      <c r="AZ134" s="170">
        <v>11</v>
      </c>
      <c r="BA134" s="170">
        <v>16</v>
      </c>
      <c r="BB134" s="179"/>
      <c r="BC134" s="172">
        <f t="shared" ca="1" si="146"/>
        <v>48.489999999999981</v>
      </c>
      <c r="BD134" s="173">
        <f t="shared" ca="1" si="136"/>
        <v>10.775555555555552</v>
      </c>
      <c r="BE134" s="173">
        <f t="shared" ca="1" si="136"/>
        <v>10.775555555555552</v>
      </c>
      <c r="BF134" s="173">
        <f t="shared" ca="1" si="136"/>
        <v>10.775555555555552</v>
      </c>
      <c r="BG134" s="173">
        <f t="shared" ca="1" si="136"/>
        <v>16.16333333333333</v>
      </c>
      <c r="BH134" s="180"/>
      <c r="BI134" s="166">
        <f t="shared" ca="1" si="112"/>
        <v>54.937094017094012</v>
      </c>
      <c r="BJ134" s="167">
        <f t="shared" ca="1" si="137"/>
        <v>12.208243114909779</v>
      </c>
      <c r="BK134" s="167">
        <f t="shared" ca="1" si="138"/>
        <v>12.208243114909779</v>
      </c>
      <c r="BL134" s="167">
        <f t="shared" ca="1" si="139"/>
        <v>12.208243114909779</v>
      </c>
      <c r="BM134" s="167">
        <f t="shared" ca="1" si="140"/>
        <v>18.312364672364669</v>
      </c>
      <c r="BN134" s="178"/>
      <c r="BO134" s="169">
        <f t="shared" ca="1" si="147"/>
        <v>69.433897435897435</v>
      </c>
      <c r="BP134" s="170">
        <f ca="1">INDEX('Cap based on indoor unit SZ'!$V$43:$V$58,MATCH(AE134,'Cap based on indoor unit SZ'!$U$43:$U$58))</f>
        <v>14.945025641025641</v>
      </c>
      <c r="BQ134" s="170">
        <f ca="1">INDEX('Cap based on indoor unit SZ'!$V$43:$V$58,MATCH(AF134,'Cap based on indoor unit SZ'!$U$43:$U$58))</f>
        <v>14.945025641025641</v>
      </c>
      <c r="BR134" s="170">
        <f ca="1">INDEX('Cap based on indoor unit SZ'!$V$43:$V$58,MATCH(AG134,'Cap based on indoor unit SZ'!$U$43:$U$58))</f>
        <v>14.945025641025641</v>
      </c>
      <c r="BS134" s="170">
        <f ca="1">INDEX('Cap based on indoor unit SZ'!$V$43:$V$58,MATCH(AH134,'Cap based on indoor unit SZ'!$U$43:$U$58))</f>
        <v>24.598820512820513</v>
      </c>
      <c r="BT134" s="179"/>
      <c r="BU134" s="175">
        <v>11500</v>
      </c>
      <c r="BV134" s="175">
        <v>11500</v>
      </c>
      <c r="BW134" s="175">
        <v>11500</v>
      </c>
      <c r="BX134" s="175">
        <v>16500</v>
      </c>
      <c r="BY134" s="179"/>
      <c r="BZ134" s="172">
        <f t="shared" ca="1" si="116"/>
        <v>54.937094017094012</v>
      </c>
      <c r="CA134" s="173">
        <f t="shared" ca="1" si="141"/>
        <v>12.208243114909779</v>
      </c>
      <c r="CB134" s="173">
        <f t="shared" ca="1" si="142"/>
        <v>12.208243114909779</v>
      </c>
      <c r="CC134" s="173">
        <f t="shared" ca="1" si="143"/>
        <v>12.208243114909779</v>
      </c>
      <c r="CD134" s="173">
        <f t="shared" ca="1" si="144"/>
        <v>18.312364672364669</v>
      </c>
      <c r="CE134" s="180"/>
      <c r="CF134" s="166">
        <f t="shared" ca="1" si="148"/>
        <v>38.280564556237756</v>
      </c>
      <c r="CG134" s="167">
        <f t="shared" ca="1" si="149"/>
        <v>8.5067921236083901</v>
      </c>
      <c r="CH134" s="167">
        <f t="shared" ca="1" si="149"/>
        <v>8.5067921236083901</v>
      </c>
      <c r="CI134" s="167">
        <f t="shared" ca="1" si="149"/>
        <v>8.5067921236083901</v>
      </c>
      <c r="CJ134" s="167">
        <f t="shared" ca="1" si="149"/>
        <v>12.760188185412588</v>
      </c>
      <c r="CK134" s="178"/>
    </row>
    <row r="135" spans="2:89">
      <c r="B135" s="284">
        <v>48</v>
      </c>
      <c r="C135" s="289">
        <v>64.400000000000006</v>
      </c>
      <c r="D135" s="290"/>
      <c r="E135" s="8" t="s">
        <v>15</v>
      </c>
      <c r="F135" s="16">
        <v>23.325000000000003</v>
      </c>
      <c r="G135" s="2">
        <v>28.060000000000002</v>
      </c>
      <c r="H135" s="2">
        <v>30.119999999999997</v>
      </c>
      <c r="I135" s="2">
        <v>32.880000000000003</v>
      </c>
      <c r="J135" s="2">
        <v>36.555000000000007</v>
      </c>
      <c r="K135" s="2">
        <v>38.379999999999995</v>
      </c>
      <c r="L135" s="2">
        <v>38.984999999999999</v>
      </c>
      <c r="M135" s="2">
        <v>40.195</v>
      </c>
      <c r="N135" s="2">
        <v>42.11</v>
      </c>
      <c r="O135" s="2">
        <v>44.72</v>
      </c>
      <c r="P135" s="2">
        <v>55.55</v>
      </c>
      <c r="Q135" s="2">
        <v>65.575000000000003</v>
      </c>
      <c r="R135" s="203">
        <f t="shared" ca="1" si="131"/>
        <v>55.995555555555548</v>
      </c>
      <c r="S135" s="152"/>
      <c r="T135" s="152"/>
      <c r="U135" s="146"/>
      <c r="V135" s="148"/>
      <c r="W135" s="145"/>
      <c r="X135" s="152"/>
      <c r="AC135" s="164" t="s">
        <v>146</v>
      </c>
      <c r="AD135" s="164">
        <v>48</v>
      </c>
      <c r="AE135" s="165">
        <v>12</v>
      </c>
      <c r="AF135" s="165">
        <v>12</v>
      </c>
      <c r="AG135" s="165">
        <v>12</v>
      </c>
      <c r="AH135" s="165">
        <v>24</v>
      </c>
      <c r="AI135" s="165"/>
      <c r="AJ135" s="501"/>
      <c r="AK135" s="166">
        <f t="shared" ca="1" si="104"/>
        <v>48.49</v>
      </c>
      <c r="AL135" s="167">
        <f t="shared" ca="1" si="132"/>
        <v>9.6980000000000004</v>
      </c>
      <c r="AM135" s="167">
        <f t="shared" ca="1" si="133"/>
        <v>9.6980000000000004</v>
      </c>
      <c r="AN135" s="167">
        <f t="shared" ca="1" si="134"/>
        <v>9.6980000000000004</v>
      </c>
      <c r="AO135" s="167">
        <f t="shared" ca="1" si="135"/>
        <v>19.396000000000001</v>
      </c>
      <c r="AP135" s="178"/>
      <c r="AQ135" s="169">
        <f t="shared" ca="1" si="145"/>
        <v>63.68888888888889</v>
      </c>
      <c r="AR135" s="170">
        <f ca="1">INDEX('Cap based on indoor unit SZ'!$J$6:$J$21,MATCH(AE135,'Cap based on indoor unit SZ'!$I$6:$I$21))</f>
        <v>13.078888888888891</v>
      </c>
      <c r="AS135" s="170">
        <f ca="1">INDEX('Cap based on indoor unit SZ'!$J$6:$J$21,MATCH(AF135,'Cap based on indoor unit SZ'!$I$6:$I$21))</f>
        <v>13.078888888888891</v>
      </c>
      <c r="AT135" s="170">
        <f ca="1">INDEX('Cap based on indoor unit SZ'!$J$6:$J$21,MATCH(AG135,'Cap based on indoor unit SZ'!$I$6:$I$21))</f>
        <v>13.078888888888891</v>
      </c>
      <c r="AU135" s="170">
        <f ca="1">INDEX('Cap based on indoor unit SZ'!$J$6:$J$21,MATCH(AH135,'Cap based on indoor unit SZ'!$I$6:$I$21))</f>
        <v>24.452222222222218</v>
      </c>
      <c r="AV135" s="179"/>
      <c r="AW135" s="169">
        <f t="shared" si="108"/>
        <v>50</v>
      </c>
      <c r="AX135" s="170">
        <v>10</v>
      </c>
      <c r="AY135" s="170">
        <v>10</v>
      </c>
      <c r="AZ135" s="170">
        <v>10</v>
      </c>
      <c r="BA135" s="170">
        <v>20</v>
      </c>
      <c r="BB135" s="179"/>
      <c r="BC135" s="172">
        <f t="shared" ca="1" si="146"/>
        <v>48.49</v>
      </c>
      <c r="BD135" s="173">
        <f t="shared" ca="1" si="136"/>
        <v>9.6980000000000004</v>
      </c>
      <c r="BE135" s="173">
        <f t="shared" ca="1" si="136"/>
        <v>9.6980000000000004</v>
      </c>
      <c r="BF135" s="173">
        <f t="shared" ca="1" si="136"/>
        <v>9.6980000000000004</v>
      </c>
      <c r="BG135" s="173">
        <f t="shared" ca="1" si="136"/>
        <v>19.396000000000001</v>
      </c>
      <c r="BH135" s="180"/>
      <c r="BI135" s="166">
        <f t="shared" ca="1" si="112"/>
        <v>54.937094017094005</v>
      </c>
      <c r="BJ135" s="167">
        <f t="shared" ca="1" si="137"/>
        <v>10.987418803418802</v>
      </c>
      <c r="BK135" s="167">
        <f t="shared" ca="1" si="138"/>
        <v>10.987418803418802</v>
      </c>
      <c r="BL135" s="167">
        <f t="shared" ca="1" si="139"/>
        <v>10.987418803418802</v>
      </c>
      <c r="BM135" s="167">
        <f t="shared" ca="1" si="140"/>
        <v>21.974837606837603</v>
      </c>
      <c r="BN135" s="178"/>
      <c r="BO135" s="169">
        <f t="shared" ca="1" si="147"/>
        <v>75.125076923076932</v>
      </c>
      <c r="BP135" s="170">
        <f ca="1">INDEX('Cap based on indoor unit SZ'!$V$43:$V$58,MATCH(AE135,'Cap based on indoor unit SZ'!$U$43:$U$58))</f>
        <v>14.945025641025641</v>
      </c>
      <c r="BQ135" s="170">
        <f ca="1">INDEX('Cap based on indoor unit SZ'!$V$43:$V$58,MATCH(AF135,'Cap based on indoor unit SZ'!$U$43:$U$58))</f>
        <v>14.945025641025641</v>
      </c>
      <c r="BR135" s="170">
        <f ca="1">INDEX('Cap based on indoor unit SZ'!$V$43:$V$58,MATCH(AG135,'Cap based on indoor unit SZ'!$U$43:$U$58))</f>
        <v>14.945025641025641</v>
      </c>
      <c r="BS135" s="170">
        <f ca="1">INDEX('Cap based on indoor unit SZ'!$V$43:$V$58,MATCH(AH135,'Cap based on indoor unit SZ'!$U$43:$U$58))</f>
        <v>30.290000000000003</v>
      </c>
      <c r="BT135" s="179"/>
      <c r="BU135" s="175">
        <v>10500</v>
      </c>
      <c r="BV135" s="175">
        <v>10500</v>
      </c>
      <c r="BW135" s="175">
        <v>10500</v>
      </c>
      <c r="BX135" s="175">
        <v>20500</v>
      </c>
      <c r="BY135" s="179"/>
      <c r="BZ135" s="172">
        <f t="shared" ca="1" si="116"/>
        <v>54.937094017094005</v>
      </c>
      <c r="CA135" s="173">
        <f t="shared" ca="1" si="141"/>
        <v>10.987418803418802</v>
      </c>
      <c r="CB135" s="173">
        <f t="shared" ca="1" si="142"/>
        <v>10.987418803418802</v>
      </c>
      <c r="CC135" s="173">
        <f t="shared" ca="1" si="143"/>
        <v>10.987418803418802</v>
      </c>
      <c r="CD135" s="173">
        <f t="shared" ca="1" si="144"/>
        <v>21.974837606837603</v>
      </c>
      <c r="CE135" s="180"/>
      <c r="CF135" s="166">
        <f t="shared" ca="1" si="148"/>
        <v>38.280564556237771</v>
      </c>
      <c r="CG135" s="167">
        <f t="shared" ca="1" si="149"/>
        <v>7.6561129112475541</v>
      </c>
      <c r="CH135" s="167">
        <f t="shared" ca="1" si="149"/>
        <v>7.6561129112475541</v>
      </c>
      <c r="CI135" s="167">
        <f t="shared" ca="1" si="149"/>
        <v>7.6561129112475541</v>
      </c>
      <c r="CJ135" s="167">
        <f t="shared" ca="1" si="149"/>
        <v>15.312225822495108</v>
      </c>
      <c r="CK135" s="178"/>
    </row>
    <row r="136" spans="2:89">
      <c r="B136" s="284">
        <v>48</v>
      </c>
      <c r="C136" s="285">
        <v>69</v>
      </c>
      <c r="D136" s="286"/>
      <c r="E136" s="8" t="s">
        <v>15</v>
      </c>
      <c r="F136" s="16">
        <v>22.954999999999998</v>
      </c>
      <c r="G136" s="2">
        <v>27.6</v>
      </c>
      <c r="H136" s="2">
        <v>28.945</v>
      </c>
      <c r="I136" s="2">
        <v>31.664999999999999</v>
      </c>
      <c r="J136" s="2">
        <v>36.234999999999999</v>
      </c>
      <c r="K136" s="2">
        <v>37.29</v>
      </c>
      <c r="L136" s="2">
        <v>37.625</v>
      </c>
      <c r="M136" s="2">
        <v>39.64</v>
      </c>
      <c r="N136" s="2">
        <v>42.25</v>
      </c>
      <c r="O136" s="2">
        <v>46.305</v>
      </c>
      <c r="P136" s="2">
        <v>54.93</v>
      </c>
      <c r="Q136" s="2">
        <v>64.679999999999993</v>
      </c>
      <c r="R136" s="203">
        <f t="shared" ca="1" si="131"/>
        <v>55.363333333333323</v>
      </c>
      <c r="S136" s="152"/>
      <c r="T136" s="152"/>
      <c r="U136" s="146" t="s">
        <v>97</v>
      </c>
      <c r="V136" s="147">
        <f ca="1">TREND(R134:R137,C134:C137,INDOOR_HEAT_DB)</f>
        <v>54.854667536988686</v>
      </c>
      <c r="W136" s="145"/>
      <c r="X136" s="152"/>
      <c r="AC136" s="164" t="s">
        <v>145</v>
      </c>
      <c r="AD136" s="164">
        <v>48</v>
      </c>
      <c r="AE136" s="165">
        <v>12</v>
      </c>
      <c r="AF136" s="165">
        <v>12</v>
      </c>
      <c r="AG136" s="165">
        <v>18</v>
      </c>
      <c r="AH136" s="165">
        <v>18</v>
      </c>
      <c r="AI136" s="165"/>
      <c r="AJ136" s="501"/>
      <c r="AK136" s="166">
        <f t="shared" ca="1" si="104"/>
        <v>48.489999999999995</v>
      </c>
      <c r="AL136" s="167">
        <f t="shared" ca="1" si="132"/>
        <v>9.6980000000000004</v>
      </c>
      <c r="AM136" s="167">
        <f t="shared" ca="1" si="133"/>
        <v>9.6980000000000004</v>
      </c>
      <c r="AN136" s="167">
        <f t="shared" ca="1" si="134"/>
        <v>14.547000000000001</v>
      </c>
      <c r="AO136" s="167">
        <f t="shared" ca="1" si="135"/>
        <v>14.547000000000001</v>
      </c>
      <c r="AP136" s="178"/>
      <c r="AQ136" s="169">
        <f t="shared" ca="1" si="145"/>
        <v>65.8</v>
      </c>
      <c r="AR136" s="170">
        <f ca="1">INDEX('Cap based on indoor unit SZ'!$J$6:$J$21,MATCH(AE136,'Cap based on indoor unit SZ'!$I$6:$I$21))</f>
        <v>13.078888888888891</v>
      </c>
      <c r="AS136" s="170">
        <f ca="1">INDEX('Cap based on indoor unit SZ'!$J$6:$J$21,MATCH(AF136,'Cap based on indoor unit SZ'!$I$6:$I$21))</f>
        <v>13.078888888888891</v>
      </c>
      <c r="AT136" s="170">
        <f ca="1">INDEX('Cap based on indoor unit SZ'!$J$6:$J$21,MATCH(AG136,'Cap based on indoor unit SZ'!$I$6:$I$21))</f>
        <v>19.821111111111112</v>
      </c>
      <c r="AU136" s="170">
        <f ca="1">INDEX('Cap based on indoor unit SZ'!$J$6:$J$21,MATCH(AH136,'Cap based on indoor unit SZ'!$I$6:$I$21))</f>
        <v>19.821111111111112</v>
      </c>
      <c r="AV136" s="179"/>
      <c r="AW136" s="169">
        <f t="shared" si="108"/>
        <v>50</v>
      </c>
      <c r="AX136" s="170">
        <v>10</v>
      </c>
      <c r="AY136" s="170">
        <v>10</v>
      </c>
      <c r="AZ136" s="170">
        <v>15</v>
      </c>
      <c r="BA136" s="170">
        <v>15</v>
      </c>
      <c r="BB136" s="179"/>
      <c r="BC136" s="172">
        <f t="shared" ca="1" si="146"/>
        <v>48.489999999999995</v>
      </c>
      <c r="BD136" s="173">
        <f t="shared" ca="1" si="136"/>
        <v>9.6980000000000004</v>
      </c>
      <c r="BE136" s="173">
        <f t="shared" ca="1" si="136"/>
        <v>9.6980000000000004</v>
      </c>
      <c r="BF136" s="173">
        <f t="shared" ca="1" si="136"/>
        <v>14.547000000000001</v>
      </c>
      <c r="BG136" s="173">
        <f t="shared" ca="1" si="136"/>
        <v>14.547000000000001</v>
      </c>
      <c r="BH136" s="180"/>
      <c r="BI136" s="166">
        <f t="shared" ca="1" si="112"/>
        <v>54.937094017094012</v>
      </c>
      <c r="BJ136" s="167">
        <f t="shared" ca="1" si="137"/>
        <v>10.987418803418802</v>
      </c>
      <c r="BK136" s="167">
        <f t="shared" ca="1" si="138"/>
        <v>10.987418803418802</v>
      </c>
      <c r="BL136" s="167">
        <f t="shared" ca="1" si="139"/>
        <v>16.481128205128204</v>
      </c>
      <c r="BM136" s="167">
        <f t="shared" ca="1" si="140"/>
        <v>16.481128205128204</v>
      </c>
      <c r="BN136" s="178"/>
      <c r="BO136" s="169">
        <f t="shared" ca="1" si="147"/>
        <v>79.087692307692308</v>
      </c>
      <c r="BP136" s="170">
        <f ca="1">INDEX('Cap based on indoor unit SZ'!$V$43:$V$58,MATCH(AE136,'Cap based on indoor unit SZ'!$U$43:$U$58))</f>
        <v>14.945025641025641</v>
      </c>
      <c r="BQ136" s="170">
        <f ca="1">INDEX('Cap based on indoor unit SZ'!$V$43:$V$58,MATCH(AF136,'Cap based on indoor unit SZ'!$U$43:$U$58))</f>
        <v>14.945025641025641</v>
      </c>
      <c r="BR136" s="170">
        <f ca="1">INDEX('Cap based on indoor unit SZ'!$V$43:$V$58,MATCH(AG136,'Cap based on indoor unit SZ'!$U$43:$U$58))</f>
        <v>24.598820512820513</v>
      </c>
      <c r="BS136" s="170">
        <f ca="1">INDEX('Cap based on indoor unit SZ'!$V$43:$V$58,MATCH(AH136,'Cap based on indoor unit SZ'!$U$43:$U$58))</f>
        <v>24.598820512820513</v>
      </c>
      <c r="BT136" s="179"/>
      <c r="BU136" s="175">
        <v>10500</v>
      </c>
      <c r="BV136" s="175">
        <v>10500</v>
      </c>
      <c r="BW136" s="175">
        <v>15500</v>
      </c>
      <c r="BX136" s="175">
        <v>15500</v>
      </c>
      <c r="BY136" s="179"/>
      <c r="BZ136" s="172">
        <f t="shared" ca="1" si="116"/>
        <v>54.937094017094012</v>
      </c>
      <c r="CA136" s="173">
        <f t="shared" ca="1" si="141"/>
        <v>10.987418803418802</v>
      </c>
      <c r="CB136" s="173">
        <f t="shared" ca="1" si="142"/>
        <v>10.987418803418802</v>
      </c>
      <c r="CC136" s="173">
        <f t="shared" ca="1" si="143"/>
        <v>16.481128205128204</v>
      </c>
      <c r="CD136" s="173">
        <f t="shared" ca="1" si="144"/>
        <v>16.481128205128204</v>
      </c>
      <c r="CE136" s="180"/>
      <c r="CF136" s="166">
        <f t="shared" ca="1" si="148"/>
        <v>38.280564556237771</v>
      </c>
      <c r="CG136" s="167">
        <f t="shared" ca="1" si="149"/>
        <v>7.6561129112475541</v>
      </c>
      <c r="CH136" s="167">
        <f t="shared" ca="1" si="149"/>
        <v>7.6561129112475541</v>
      </c>
      <c r="CI136" s="167">
        <f t="shared" ca="1" si="149"/>
        <v>11.484169366871331</v>
      </c>
      <c r="CJ136" s="167">
        <f t="shared" ca="1" si="149"/>
        <v>11.484169366871331</v>
      </c>
      <c r="CK136" s="178"/>
    </row>
    <row r="137" spans="2:89" ht="14.4" thickBot="1">
      <c r="B137" s="284">
        <v>48</v>
      </c>
      <c r="C137" s="287">
        <v>71.599999999999994</v>
      </c>
      <c r="D137" s="288"/>
      <c r="E137" s="8" t="s">
        <v>15</v>
      </c>
      <c r="F137" s="16">
        <v>22.509999999999998</v>
      </c>
      <c r="G137" s="2">
        <v>27.055</v>
      </c>
      <c r="H137" s="2">
        <v>28.369999999999997</v>
      </c>
      <c r="I137" s="2">
        <v>31.035</v>
      </c>
      <c r="J137" s="2">
        <v>35.055000000000007</v>
      </c>
      <c r="K137" s="2">
        <v>36.465000000000003</v>
      </c>
      <c r="L137" s="2">
        <v>36.795000000000002</v>
      </c>
      <c r="M137" s="2">
        <v>38.765000000000001</v>
      </c>
      <c r="N137" s="2">
        <v>41.32</v>
      </c>
      <c r="O137" s="2">
        <v>45.29</v>
      </c>
      <c r="P137" s="2">
        <v>53.83</v>
      </c>
      <c r="Q137" s="2">
        <v>63.395000000000003</v>
      </c>
      <c r="R137" s="211">
        <f t="shared" ca="1" si="131"/>
        <v>54.255111111111106</v>
      </c>
      <c r="S137" s="152"/>
      <c r="T137" s="152"/>
      <c r="U137" s="146"/>
      <c r="V137" s="152"/>
      <c r="W137" s="152"/>
      <c r="X137" s="152"/>
      <c r="AC137" s="164" t="s">
        <v>144</v>
      </c>
      <c r="AD137" s="164">
        <v>48</v>
      </c>
      <c r="AE137" s="165">
        <v>9</v>
      </c>
      <c r="AF137" s="165">
        <v>9</v>
      </c>
      <c r="AG137" s="165">
        <v>9</v>
      </c>
      <c r="AH137" s="165">
        <v>9</v>
      </c>
      <c r="AI137" s="165">
        <v>9</v>
      </c>
      <c r="AJ137" s="500">
        <v>5</v>
      </c>
      <c r="AK137" s="241">
        <f t="shared" ca="1" si="104"/>
        <v>48.489999999999995</v>
      </c>
      <c r="AL137" s="167">
        <f t="shared" ref="AL137:AL148" ca="1" si="150">IF((INDEX($AA$4:$AA$7,MATCH(INDOOR_1,$Z$4:$Z$7))*(INDEX($X$27:$X$46,MATCH($AD137,$W$27:$W$46,1))/(INDEX($AA$4:$AA$7,MATCH(INDOOR_1,$Z$4:$Z$7))+INDEX($AA$4:$AA$7,MATCH(INDOOR_2,$Z$4:$Z$7))+INDEX($AA$4:$AA$7,MATCH(INDOOR_3,$Z$4:$Z$7))+INDEX($AA$4:$AA$7,MATCH(INDOOR_4,$Z$4:$Z$7))+INDEX($AA$4:$AA$7,MATCH(INDOOR_5,$Z$4:$Z$7)))))
&gt;AR137,AR137,
(INDEX($AA$4:$AA$7,MATCH(INDOOR_1,$Z$4:$Z$7))*(INDEX($X$27:$X$46,MATCH($AD137,$W$27:$W$46,1))/(INDEX($AA$4:$AA$7,MATCH(INDOOR_1,$Z$4:$Z$7))+INDEX($AA$4:$AA$7,MATCH(INDOOR_2,$Z$4:$Z$7))+INDEX($AA$4:$AA$7,MATCH(INDOOR_3,$Z$4:$Z$7))+INDEX($AA$4:$AA$7,MATCH(INDOOR_4,$Z$4:$Z$7))+INDEX($AA$4:$AA$7,MATCH(INDOOR_5,$Z$4:$Z$7))))))</f>
        <v>9.6979999999999986</v>
      </c>
      <c r="AM137" s="167">
        <f t="shared" ref="AM137:AM148" ca="1" si="151">IF((INDEX($AA$4:$AA$7,MATCH(INDOOR_2,$Z$4:$Z$7))*(INDEX($X$27:$X$46,MATCH($AD137,$W$27:$W$46,1))/(INDEX($AA$4:$AA$7,MATCH(INDOOR_1,$Z$4:$Z$7))+INDEX($AA$4:$AA$7,MATCH(INDOOR_2,$Z$4:$Z$7))+INDEX($AA$4:$AA$7,MATCH(INDOOR_3,$Z$4:$Z$7))+INDEX($AA$4:$AA$7,MATCH(INDOOR_4,$Z$4:$Z$7))+INDEX($AA$4:$AA$7,MATCH(INDOOR_5,$Z$4:$Z$7)))))
&gt;AS137,AS137,
(INDEX($AA$4:$AA$7,MATCH(INDOOR_2,$Z$4:$Z$7))*(INDEX($X$27:$X$46,MATCH($AD137,$W$27:$W$46,1))/(INDEX($AA$4:$AA$7,MATCH(INDOOR_1,$Z$4:$Z$7))+INDEX($AA$4:$AA$7,MATCH(INDOOR_2,$Z$4:$Z$7))+INDEX($AA$4:$AA$7,MATCH(INDOOR_3,$Z$4:$Z$7))+INDEX($AA$4:$AA$7,MATCH(INDOOR_4,$Z$4:$Z$7))+INDEX($AA$4:$AA$7,MATCH(INDOOR_5,$Z$4:$Z$7))))))</f>
        <v>9.6979999999999986</v>
      </c>
      <c r="AN137" s="167">
        <f t="shared" ref="AN137:AN148" ca="1" si="152">IF((INDEX($AA$4:$AA$7,MATCH(INDOOR_3,$Z$4:$Z$7))*(INDEX($X$27:$X$46,MATCH($AD137,$W$27:$W$46,1))/(INDEX($AA$4:$AA$7,MATCH(INDOOR_1,$Z$4:$Z$7))+INDEX($AA$4:$AA$7,MATCH(INDOOR_2,$Z$4:$Z$7))+INDEX($AA$4:$AA$7,MATCH(INDOOR_3,$Z$4:$Z$7))+INDEX($AA$4:$AA$7,MATCH(INDOOR_4,$Z$4:$Z$7))+INDEX($AA$4:$AA$7,MATCH(INDOOR_5,$Z$4:$Z$7)))))
&gt;AT137,AT137,
(INDEX($AA$4:$AA$7,MATCH(INDOOR_3,$Z$4:$Z$7))*(INDEX($X$27:$X$46,MATCH($AD137,$W$27:$W$46,1))/(INDEX($AA$4:$AA$7,MATCH(INDOOR_1,$Z$4:$Z$7))+INDEX($AA$4:$AA$7,MATCH(INDOOR_2,$Z$4:$Z$7))+INDEX($AA$4:$AA$7,MATCH(INDOOR_3,$Z$4:$Z$7))+INDEX($AA$4:$AA$7,MATCH(INDOOR_4,$Z$4:$Z$7))+INDEX($AA$4:$AA$7,MATCH(INDOOR_5,$Z$4:$Z$7))))))</f>
        <v>9.6979999999999986</v>
      </c>
      <c r="AO137" s="167">
        <f t="shared" ref="AO137:AO148" ca="1" si="153">IF((INDEX($AA$4:$AA$7,MATCH(INDOOR_4,$Z$4:$Z$7))*(INDEX($X$27:$X$46,MATCH($AD137,$W$27:$W$46,1))/(INDEX($AA$4:$AA$7,MATCH(INDOOR_1,$Z$4:$Z$7))+INDEX($AA$4:$AA$7,MATCH(INDOOR_2,$Z$4:$Z$7))+INDEX($AA$4:$AA$7,MATCH(INDOOR_3,$Z$4:$Z$7))+INDEX($AA$4:$AA$7,MATCH(INDOOR_4,$Z$4:$Z$7))+INDEX($AA$4:$AA$7,MATCH(INDOOR_5,$Z$4:$Z$7)))))
&gt;AU137,AU137,
(INDEX($AA$4:$AA$7,MATCH(INDOOR_4,$Z$4:$Z$7))*(INDEX($X$27:$X$46,MATCH($AD137,$W$27:$W$46,1))/(INDEX($AA$4:$AA$7,MATCH(INDOOR_1,$Z$4:$Z$7))+INDEX($AA$4:$AA$7,MATCH(INDOOR_2,$Z$4:$Z$7))+INDEX($AA$4:$AA$7,MATCH(INDOOR_3,$Z$4:$Z$7))+INDEX($AA$4:$AA$7,MATCH(INDOOR_4,$Z$4:$Z$7))+INDEX($AA$4:$AA$7,MATCH(INDOOR_5,$Z$4:$Z$7))))))</f>
        <v>9.6979999999999986</v>
      </c>
      <c r="AP137" s="167">
        <f t="shared" ref="AP137:AP148" ca="1" si="154">IF((INDEX($AA$4:$AA$7,MATCH(INDOOR_5,$Z$4:$Z$7))*(INDEX($X$27:$X$46,MATCH($AD137,$W$27:$W$46,1))/(INDEX($AA$4:$AA$7,MATCH(INDOOR_1,$Z$4:$Z$7))+INDEX($AA$4:$AA$7,MATCH(INDOOR_2,$Z$4:$Z$7))+INDEX($AA$4:$AA$7,MATCH(INDOOR_3,$Z$4:$Z$7))+INDEX($AA$4:$AA$7,MATCH(INDOOR_4,$Z$4:$Z$7))+INDEX($AA$4:$AA$7,MATCH(INDOOR_5,$Z$4:$Z$7)))))
&gt;AV137,AV137,
(INDEX($AA$4:$AA$7,MATCH(INDOOR_5,$Z$4:$Z$7))*(INDEX($X$27:$X$46,MATCH($AD137,$W$27:$W$46,1))/(INDEX($AA$4:$AA$7,MATCH(INDOOR_1,$Z$4:$Z$7))+INDEX($AA$4:$AA$7,MATCH(INDOOR_2,$Z$4:$Z$7))+INDEX($AA$4:$AA$7,MATCH(INDOOR_3,$Z$4:$Z$7))+INDEX($AA$4:$AA$7,MATCH(INDOOR_4,$Z$4:$Z$7))+INDEX($AA$4:$AA$7,MATCH(INDOOR_5,$Z$4:$Z$7))))))</f>
        <v>9.6979999999999986</v>
      </c>
      <c r="AQ137" s="242">
        <f t="shared" ca="1" si="145"/>
        <v>52.315555555555555</v>
      </c>
      <c r="AR137" s="170">
        <f ca="1">INDEX('Cap based on indoor unit SZ'!$J$6:$J$21,MATCH(AE137,'Cap based on indoor unit SZ'!$I$6:$I$21))</f>
        <v>10.463111111111111</v>
      </c>
      <c r="AS137" s="170">
        <f ca="1">INDEX('Cap based on indoor unit SZ'!$J$6:$J$21,MATCH(AF137,'Cap based on indoor unit SZ'!$I$6:$I$21))</f>
        <v>10.463111111111111</v>
      </c>
      <c r="AT137" s="170">
        <f ca="1">INDEX('Cap based on indoor unit SZ'!$J$6:$J$21,MATCH(AG137,'Cap based on indoor unit SZ'!$I$6:$I$21))</f>
        <v>10.463111111111111</v>
      </c>
      <c r="AU137" s="170">
        <f ca="1">INDEX('Cap based on indoor unit SZ'!$J$6:$J$21,MATCH(AH137,'Cap based on indoor unit SZ'!$I$6:$I$21))</f>
        <v>10.463111111111111</v>
      </c>
      <c r="AV137" s="170">
        <f ca="1">INDEX('Cap based on indoor unit SZ'!$J$6:$J$21,MATCH(AI137,'Cap based on indoor unit SZ'!$I$6:$I$21))</f>
        <v>10.463111111111111</v>
      </c>
      <c r="AW137" s="242">
        <f t="shared" si="108"/>
        <v>45</v>
      </c>
      <c r="AX137" s="170">
        <v>9</v>
      </c>
      <c r="AY137" s="170">
        <v>9</v>
      </c>
      <c r="AZ137" s="170">
        <v>9</v>
      </c>
      <c r="BA137" s="170">
        <v>9</v>
      </c>
      <c r="BB137" s="170">
        <v>9</v>
      </c>
      <c r="BC137" s="243">
        <f t="shared" ca="1" si="146"/>
        <v>48.489999999999995</v>
      </c>
      <c r="BD137" s="173">
        <f t="shared" ref="BD137:BH148" ca="1" si="155">(INDEX($AA$4:$AA$7,MATCH(AE137,$Z$4:$Z$7))*(INDEX($X$27:$X$46,MATCH($AD137,$W$27:$W$46,1))/(INDEX($AA$4:$AA$7,MATCH($AE137,$Z$4:$Z$7))+INDEX($AA$4:$AA$7,MATCH($AF137,$Z$4:$Z$7))+INDEX($AA$4:$AA$7,MATCH($AG137,$Z$4:$Z$7))+INDEX($AA$4:$AA$7,MATCH($AH137,$Z$4:$Z$7))+INDEX($AA$4:$AA$7,MATCH($AI137,$Z$4:$Z$7)))))</f>
        <v>9.6979999999999986</v>
      </c>
      <c r="BE137" s="173">
        <f t="shared" ca="1" si="155"/>
        <v>9.6979999999999986</v>
      </c>
      <c r="BF137" s="173">
        <f t="shared" ca="1" si="155"/>
        <v>9.6979999999999986</v>
      </c>
      <c r="BG137" s="173">
        <f t="shared" ca="1" si="155"/>
        <v>9.6979999999999986</v>
      </c>
      <c r="BH137" s="173">
        <f t="shared" ca="1" si="155"/>
        <v>9.6979999999999986</v>
      </c>
      <c r="BI137" s="241">
        <f t="shared" ca="1" si="112"/>
        <v>54.937094017094012</v>
      </c>
      <c r="BJ137" s="167">
        <f t="shared" ref="BJ137:BJ148" ca="1" si="156">IF((INDEX($AA$4:$AA$7,MATCH(INDOOR_1,$Z$4:$Z$7))*(INDEX($X$118:$X$137,MATCH($AD137,$W$118:$W$137,1))/(INDEX($AA$4:$AA$7,MATCH(INDOOR_1,$Z$4:$Z$7))+INDEX($AA$4:$AA$7,MATCH(INDOOR_2,$Z$4:$Z$7))+INDEX($AA$4:$AA$7,MATCH(INDOOR_3,$Z$4:$Z$7))+INDEX($AA$4:$AA$7,MATCH(INDOOR_4,$Z$4:$Z$7))+INDEX($AA$4:$AA$7,MATCH(INDOOR_5,$Z$4:$Z$7)))))
&gt;BP137,BP137,
(INDEX($AA$4:$AA$7,MATCH(INDOOR_1,$Z$4:$Z$7))*(INDEX($X$118:$X$137,MATCH($AD137,$W$118:$W$137,1))/(INDEX($AA$4:$AA$7,MATCH(INDOOR_1,$Z$4:$Z$7))+INDEX($AA$4:$AA$7,MATCH(INDOOR_2,$Z$4:$Z$7))+INDEX($AA$4:$AA$7,MATCH(INDOOR_3,$Z$4:$Z$7))+INDEX($AA$4:$AA$7,MATCH(INDOOR_4,$Z$4:$Z$7))+INDEX($AA$4:$AA$7,MATCH(INDOOR_5,$Z$4:$Z$7))))))</f>
        <v>10.987418803418802</v>
      </c>
      <c r="BK137" s="167">
        <f t="shared" ref="BK137:BK148" ca="1" si="157">IF((INDEX($AA$4:$AA$7,MATCH(INDOOR_2,$Z$4:$Z$7))*(INDEX($X$118:$X$137,MATCH($AD137,$W$118:$W$137,1))/(INDEX($AA$4:$AA$7,MATCH(INDOOR_1,$Z$4:$Z$7))+INDEX($AA$4:$AA$7,MATCH(INDOOR_2,$Z$4:$Z$7))+INDEX($AA$4:$AA$7,MATCH(INDOOR_3,$Z$4:$Z$7))+INDEX($AA$4:$AA$7,MATCH(INDOOR_4,$Z$4:$Z$7))+INDEX($AA$4:$AA$7,MATCH(INDOOR_5,$Z$4:$Z$7)))))
&gt;BQ137,BQ137,
(INDEX($AA$4:$AA$7,MATCH(INDOOR_2,$Z$4:$Z$7))*(INDEX($X$118:$X$137,MATCH($AD137,$W$118:$W$137,1))/(INDEX($AA$4:$AA$7,MATCH(INDOOR_1,$Z$4:$Z$7))+INDEX($AA$4:$AA$7,MATCH(INDOOR_2,$Z$4:$Z$7))+INDEX($AA$4:$AA$7,MATCH(INDOOR_3,$Z$4:$Z$7))+INDEX($AA$4:$AA$7,MATCH(INDOOR_4,$Z$4:$Z$7))+INDEX($AA$4:$AA$7,MATCH(INDOOR_5,$Z$4:$Z$7))))))</f>
        <v>10.987418803418802</v>
      </c>
      <c r="BL137" s="167">
        <f t="shared" ref="BL137:BL148" ca="1" si="158">IF((INDEX($AA$4:$AA$7,MATCH(INDOOR_3,$Z$4:$Z$7))*(INDEX($X$118:$X$137,MATCH($AD137,$W$118:$W$137,1))/(INDEX($AA$4:$AA$7,MATCH(INDOOR_1,$Z$4:$Z$7))+INDEX($AA$4:$AA$7,MATCH(INDOOR_2,$Z$4:$Z$7))+INDEX($AA$4:$AA$7,MATCH(INDOOR_3,$Z$4:$Z$7))+INDEX($AA$4:$AA$7,MATCH(INDOOR_4,$Z$4:$Z$7))+INDEX($AA$4:$AA$7,MATCH(INDOOR_5,$Z$4:$Z$7)))))
&gt;BR137,BR137,
(INDEX($AA$4:$AA$7,MATCH(INDOOR_3,$Z$4:$Z$7))*(INDEX($X$118:$X$137,MATCH($AD137,$W$118:$W$137,1))/(INDEX($AA$4:$AA$7,MATCH(INDOOR_1,$Z$4:$Z$7))+INDEX($AA$4:$AA$7,MATCH(INDOOR_2,$Z$4:$Z$7))+INDEX($AA$4:$AA$7,MATCH(INDOOR_3,$Z$4:$Z$7))+INDEX($AA$4:$AA$7,MATCH(INDOOR_4,$Z$4:$Z$7))+INDEX($AA$4:$AA$7,MATCH(INDOOR_5,$Z$4:$Z$7))))))</f>
        <v>10.987418803418802</v>
      </c>
      <c r="BM137" s="167">
        <f t="shared" ref="BM137:BM148" ca="1" si="159">IF((INDEX($AA$4:$AA$7,MATCH(INDOOR_4,$Z$4:$Z$7))*(INDEX($X$118:$X$137,MATCH($AD137,$W$118:$W$137,1))/(INDEX($AA$4:$AA$7,MATCH(INDOOR_1,$Z$4:$Z$7))+INDEX($AA$4:$AA$7,MATCH(INDOOR_2,$Z$4:$Z$7))+INDEX($AA$4:$AA$7,MATCH(INDOOR_3,$Z$4:$Z$7))+INDEX($AA$4:$AA$7,MATCH(INDOOR_4,$Z$4:$Z$7))+INDEX($AA$4:$AA$7,MATCH(INDOOR_5,$Z$4:$Z$7)))))
&gt;BS137,BS137,
(INDEX($AA$4:$AA$7,MATCH(INDOOR_4,$Z$4:$Z$7))*(INDEX($X$118:$X$137,MATCH($AD137,$W$118:$W$137,1))/(INDEX($AA$4:$AA$7,MATCH(INDOOR_1,$Z$4:$Z$7))+INDEX($AA$4:$AA$7,MATCH(INDOOR_2,$Z$4:$Z$7))+INDEX($AA$4:$AA$7,MATCH(INDOOR_3,$Z$4:$Z$7))+INDEX($AA$4:$AA$7,MATCH(INDOOR_4,$Z$4:$Z$7))+INDEX($AA$4:$AA$7,MATCH(INDOOR_5,$Z$4:$Z$7))))))</f>
        <v>10.987418803418802</v>
      </c>
      <c r="BN137" s="167">
        <f t="shared" ref="BN137:BN148" ca="1" si="160">IF((INDEX($AA$4:$AA$7,MATCH(INDOOR_5,$Z$4:$Z$7))*(INDEX($X$118:$X$137,MATCH($AD137,$W$118:$W$137,1))/(INDEX($AA$4:$AA$7,MATCH(INDOOR_1,$Z$4:$Z$7))+INDEX($AA$4:$AA$7,MATCH(INDOOR_2,$Z$4:$Z$7))+INDEX($AA$4:$AA$7,MATCH(INDOOR_3,$Z$4:$Z$7))+INDEX($AA$4:$AA$7,MATCH(INDOOR_4,$Z$4:$Z$7))+INDEX($AA$4:$AA$7,MATCH(INDOOR_5,$Z$4:$Z$7)))))
&gt;BT137,BT137,
(INDEX($AA$4:$AA$7,MATCH(INDOOR_5,$Z$4:$Z$7))*(INDEX($X$118:$X$137,MATCH($AD137,$W$118:$W$137,1))/(INDEX($AA$4:$AA$7,MATCH(INDOOR_1,$Z$4:$Z$7))+INDEX($AA$4:$AA$7,MATCH(INDOOR_2,$Z$4:$Z$7))+INDEX($AA$4:$AA$7,MATCH(INDOOR_3,$Z$4:$Z$7))+INDEX($AA$4:$AA$7,MATCH(INDOOR_4,$Z$4:$Z$7))+INDEX($AA$4:$AA$7,MATCH(INDOOR_5,$Z$4:$Z$7))))))</f>
        <v>10.987418803418802</v>
      </c>
      <c r="BO137" s="242">
        <f t="shared" ca="1" si="147"/>
        <v>59.780102564102563</v>
      </c>
      <c r="BP137" s="170">
        <f ca="1">INDEX('Cap based on indoor unit SZ'!$V$43:$V$58,MATCH(AE137,'Cap based on indoor unit SZ'!$U$43:$U$58))</f>
        <v>11.956020512820512</v>
      </c>
      <c r="BQ137" s="170">
        <f ca="1">INDEX('Cap based on indoor unit SZ'!$V$43:$V$58,MATCH(AF137,'Cap based on indoor unit SZ'!$U$43:$U$58))</f>
        <v>11.956020512820512</v>
      </c>
      <c r="BR137" s="170">
        <f ca="1">INDEX('Cap based on indoor unit SZ'!$V$43:$V$58,MATCH(AG137,'Cap based on indoor unit SZ'!$U$43:$U$58))</f>
        <v>11.956020512820512</v>
      </c>
      <c r="BS137" s="170">
        <f ca="1">INDEX('Cap based on indoor unit SZ'!$V$43:$V$58,MATCH(AH137,'Cap based on indoor unit SZ'!$U$43:$U$58))</f>
        <v>11.956020512820512</v>
      </c>
      <c r="BT137" s="170">
        <f ca="1">INDEX('Cap based on indoor unit SZ'!$V$43:$V$58,MATCH(AI137,'Cap based on indoor unit SZ'!$U$43:$U$58))</f>
        <v>11.956020512820512</v>
      </c>
      <c r="BU137" s="175">
        <v>9500</v>
      </c>
      <c r="BV137" s="175">
        <v>9500</v>
      </c>
      <c r="BW137" s="175">
        <v>9500</v>
      </c>
      <c r="BX137" s="175">
        <v>9500</v>
      </c>
      <c r="BY137" s="175">
        <v>9500</v>
      </c>
      <c r="BZ137" s="243">
        <f t="shared" ca="1" si="116"/>
        <v>54.937094017094012</v>
      </c>
      <c r="CA137" s="173">
        <f t="shared" ref="CA137:CA148" ca="1" si="161">(INDEX($AA$4:$AA$7,MATCH(INDOOR_1,$Z$4:$Z$7))*(INDEX($X$118:$X$137,MATCH($AD137,$W$118:$W$137,1))/(INDEX($AA$4:$AA$7,MATCH(INDOOR_1,$Z$4:$Z$7))+INDEX($AA$4:$AA$7,MATCH(INDOOR_2,$Z$4:$Z$7))+INDEX($AA$4:$AA$7,MATCH(INDOOR_3,$Z$4:$Z$7))+INDEX($AA$4:$AA$7,MATCH(INDOOR_4,$Z$4:$Z$7))+INDEX($AA$4:$AA$7,MATCH(INDOOR_5,$Z$4:$Z$7)))))</f>
        <v>10.987418803418802</v>
      </c>
      <c r="CB137" s="173">
        <f t="shared" ref="CB137:CB148" ca="1" si="162">(INDEX($AA$4:$AA$7,MATCH(INDOOR_2,$Z$4:$Z$7))*(INDEX($X$118:$X$137,MATCH($AD137,$W$118:$W$137,1))/(INDEX($AA$4:$AA$7,MATCH(INDOOR_1,$Z$4:$Z$7))+INDEX($AA$4:$AA$7,MATCH(INDOOR_2,$Z$4:$Z$7))+INDEX($AA$4:$AA$7,MATCH(INDOOR_3,$Z$4:$Z$7))+INDEX($AA$4:$AA$7,MATCH(INDOOR_4,$Z$4:$Z$7))+INDEX($AA$4:$AA$7,MATCH(INDOOR_5,$Z$4:$Z$7)))))</f>
        <v>10.987418803418802</v>
      </c>
      <c r="CC137" s="173">
        <f t="shared" ref="CC137:CC148" ca="1" si="163">(INDEX($AA$4:$AA$7,MATCH(INDOOR_3,$Z$4:$Z$7))*(INDEX($X$118:$X$137,MATCH($AD137,$W$118:$W$137,1))/(INDEX($AA$4:$AA$7,MATCH(INDOOR_1,$Z$4:$Z$7))+INDEX($AA$4:$AA$7,MATCH(INDOOR_2,$Z$4:$Z$7))+INDEX($AA$4:$AA$7,MATCH(INDOOR_3,$Z$4:$Z$7))+INDEX($AA$4:$AA$7,MATCH(INDOOR_4,$Z$4:$Z$7))+INDEX($AA$4:$AA$7,MATCH(INDOOR_5,$Z$4:$Z$7)))))</f>
        <v>10.987418803418802</v>
      </c>
      <c r="CD137" s="173">
        <f t="shared" ref="CD137:CD148" ca="1" si="164">(INDEX($AA$4:$AA$7,MATCH(INDOOR_4,$Z$4:$Z$7))*(INDEX($X$118:$X$137,MATCH($AD137,$W$118:$W$137,1))/(INDEX($AA$4:$AA$7,MATCH(INDOOR_1,$Z$4:$Z$7))+INDEX($AA$4:$AA$7,MATCH(INDOOR_2,$Z$4:$Z$7))+INDEX($AA$4:$AA$7,MATCH(INDOOR_3,$Z$4:$Z$7))+INDEX($AA$4:$AA$7,MATCH(INDOOR_4,$Z$4:$Z$7))+INDEX($AA$4:$AA$7,MATCH(INDOOR_5,$Z$4:$Z$7)))))</f>
        <v>10.987418803418802</v>
      </c>
      <c r="CE137" s="173">
        <f t="shared" ref="CE137:CE148" ca="1" si="165">(INDEX($AA$4:$AA$7,MATCH(INDOOR_5,$Z$4:$Z$7))*(INDEX($X$118:$X$137,MATCH($AD137,$W$118:$W$137,1))/(INDEX($AA$4:$AA$7,MATCH(INDOOR_1,$Z$4:$Z$7))+INDEX($AA$4:$AA$7,MATCH(INDOOR_2,$Z$4:$Z$7))+INDEX($AA$4:$AA$7,MATCH(INDOOR_3,$Z$4:$Z$7))+INDEX($AA$4:$AA$7,MATCH(INDOOR_4,$Z$4:$Z$7))+INDEX($AA$4:$AA$7,MATCH(INDOOR_5,$Z$4:$Z$7)))))</f>
        <v>10.987418803418802</v>
      </c>
      <c r="CF137" s="241">
        <f t="shared" ca="1" si="148"/>
        <v>38.280564556237763</v>
      </c>
      <c r="CG137" s="167">
        <f t="shared" ca="1" si="149"/>
        <v>7.6561129112475532</v>
      </c>
      <c r="CH137" s="167">
        <f t="shared" ca="1" si="149"/>
        <v>7.6561129112475532</v>
      </c>
      <c r="CI137" s="167">
        <f t="shared" ca="1" si="149"/>
        <v>7.6561129112475532</v>
      </c>
      <c r="CJ137" s="167">
        <f t="shared" ca="1" si="149"/>
        <v>7.6561129112475532</v>
      </c>
      <c r="CK137" s="167">
        <f t="shared" ca="1" si="149"/>
        <v>7.6561129112475532</v>
      </c>
    </row>
    <row r="138" spans="2:89">
      <c r="B138" s="284">
        <v>18</v>
      </c>
      <c r="C138" s="289">
        <v>59</v>
      </c>
      <c r="D138" s="290"/>
      <c r="E138" s="8" t="s">
        <v>17</v>
      </c>
      <c r="F138" s="9">
        <v>1.66</v>
      </c>
      <c r="G138" s="2">
        <v>1.7</v>
      </c>
      <c r="H138" s="2">
        <v>1.7850000000000001</v>
      </c>
      <c r="I138" s="2">
        <v>1.8149999999999999</v>
      </c>
      <c r="J138" s="2">
        <v>1.925</v>
      </c>
      <c r="K138" s="2">
        <v>1.9</v>
      </c>
      <c r="L138" s="2">
        <v>1.915</v>
      </c>
      <c r="M138" s="2">
        <v>1.9699999999999998</v>
      </c>
      <c r="N138" s="2">
        <v>1.625</v>
      </c>
      <c r="O138" s="2">
        <v>1.71</v>
      </c>
      <c r="P138" s="2">
        <v>1.905</v>
      </c>
      <c r="Q138" s="2">
        <v>1.8650000000000002</v>
      </c>
      <c r="R138" s="15"/>
      <c r="AC138" s="164" t="s">
        <v>143</v>
      </c>
      <c r="AD138" s="164">
        <v>48</v>
      </c>
      <c r="AE138" s="165">
        <v>9</v>
      </c>
      <c r="AF138" s="165">
        <v>9</v>
      </c>
      <c r="AG138" s="165">
        <v>9</v>
      </c>
      <c r="AH138" s="165">
        <v>9</v>
      </c>
      <c r="AI138" s="165">
        <v>12</v>
      </c>
      <c r="AJ138" s="501"/>
      <c r="AK138" s="241">
        <f t="shared" ca="1" si="104"/>
        <v>48.489999999999995</v>
      </c>
      <c r="AL138" s="167">
        <f t="shared" ca="1" si="150"/>
        <v>9.0918749999999999</v>
      </c>
      <c r="AM138" s="167">
        <f t="shared" ca="1" si="151"/>
        <v>9.0918749999999999</v>
      </c>
      <c r="AN138" s="167">
        <f t="shared" ca="1" si="152"/>
        <v>9.0918749999999999</v>
      </c>
      <c r="AO138" s="167">
        <f t="shared" ca="1" si="153"/>
        <v>9.0918749999999999</v>
      </c>
      <c r="AP138" s="167">
        <f t="shared" ca="1" si="154"/>
        <v>12.122499999999999</v>
      </c>
      <c r="AQ138" s="242">
        <f t="shared" ca="1" si="145"/>
        <v>54.931333333333335</v>
      </c>
      <c r="AR138" s="170">
        <f ca="1">INDEX('Cap based on indoor unit SZ'!$J$6:$J$21,MATCH(AE138,'Cap based on indoor unit SZ'!$I$6:$I$21))</f>
        <v>10.463111111111111</v>
      </c>
      <c r="AS138" s="170">
        <f ca="1">INDEX('Cap based on indoor unit SZ'!$J$6:$J$21,MATCH(AF138,'Cap based on indoor unit SZ'!$I$6:$I$21))</f>
        <v>10.463111111111111</v>
      </c>
      <c r="AT138" s="170">
        <f ca="1">INDEX('Cap based on indoor unit SZ'!$J$6:$J$21,MATCH(AG138,'Cap based on indoor unit SZ'!$I$6:$I$21))</f>
        <v>10.463111111111111</v>
      </c>
      <c r="AU138" s="170">
        <f ca="1">INDEX('Cap based on indoor unit SZ'!$J$6:$J$21,MATCH(AH138,'Cap based on indoor unit SZ'!$I$6:$I$21))</f>
        <v>10.463111111111111</v>
      </c>
      <c r="AV138" s="170">
        <f ca="1">INDEX('Cap based on indoor unit SZ'!$J$6:$J$21,MATCH(AI138,'Cap based on indoor unit SZ'!$I$6:$I$21))</f>
        <v>13.078888888888891</v>
      </c>
      <c r="AW138" s="242">
        <f t="shared" si="108"/>
        <v>48</v>
      </c>
      <c r="AX138" s="170">
        <v>9</v>
      </c>
      <c r="AY138" s="170">
        <v>9</v>
      </c>
      <c r="AZ138" s="170">
        <v>9</v>
      </c>
      <c r="BA138" s="170">
        <v>9</v>
      </c>
      <c r="BB138" s="170">
        <v>12</v>
      </c>
      <c r="BC138" s="243">
        <f t="shared" ca="1" si="146"/>
        <v>48.489999999999995</v>
      </c>
      <c r="BD138" s="173">
        <f t="shared" ca="1" si="155"/>
        <v>9.0918749999999999</v>
      </c>
      <c r="BE138" s="173">
        <f t="shared" ca="1" si="155"/>
        <v>9.0918749999999999</v>
      </c>
      <c r="BF138" s="173">
        <f t="shared" ca="1" si="155"/>
        <v>9.0918749999999999</v>
      </c>
      <c r="BG138" s="173">
        <f t="shared" ca="1" si="155"/>
        <v>9.0918749999999999</v>
      </c>
      <c r="BH138" s="173">
        <f t="shared" ca="1" si="155"/>
        <v>12.122499999999999</v>
      </c>
      <c r="BI138" s="241">
        <f t="shared" ca="1" si="112"/>
        <v>54.937094017094012</v>
      </c>
      <c r="BJ138" s="167">
        <f t="shared" ca="1" si="156"/>
        <v>10.300705128205127</v>
      </c>
      <c r="BK138" s="167">
        <f t="shared" ca="1" si="157"/>
        <v>10.300705128205127</v>
      </c>
      <c r="BL138" s="167">
        <f t="shared" ca="1" si="158"/>
        <v>10.300705128205127</v>
      </c>
      <c r="BM138" s="167">
        <f t="shared" ca="1" si="159"/>
        <v>10.300705128205127</v>
      </c>
      <c r="BN138" s="167">
        <f t="shared" ca="1" si="160"/>
        <v>13.734273504273503</v>
      </c>
      <c r="BO138" s="242">
        <f t="shared" ca="1" si="147"/>
        <v>62.769107692307685</v>
      </c>
      <c r="BP138" s="170">
        <f ca="1">INDEX('Cap based on indoor unit SZ'!$V$43:$V$58,MATCH(AE138,'Cap based on indoor unit SZ'!$U$43:$U$58))</f>
        <v>11.956020512820512</v>
      </c>
      <c r="BQ138" s="170">
        <f ca="1">INDEX('Cap based on indoor unit SZ'!$V$43:$V$58,MATCH(AF138,'Cap based on indoor unit SZ'!$U$43:$U$58))</f>
        <v>11.956020512820512</v>
      </c>
      <c r="BR138" s="170">
        <f ca="1">INDEX('Cap based on indoor unit SZ'!$V$43:$V$58,MATCH(AG138,'Cap based on indoor unit SZ'!$U$43:$U$58))</f>
        <v>11.956020512820512</v>
      </c>
      <c r="BS138" s="170">
        <f ca="1">INDEX('Cap based on indoor unit SZ'!$V$43:$V$58,MATCH(AH138,'Cap based on indoor unit SZ'!$U$43:$U$58))</f>
        <v>11.956020512820512</v>
      </c>
      <c r="BT138" s="170">
        <f ca="1">INDEX('Cap based on indoor unit SZ'!$V$43:$V$58,MATCH(AI138,'Cap based on indoor unit SZ'!$U$43:$U$58))</f>
        <v>14.945025641025641</v>
      </c>
      <c r="BU138" s="175">
        <v>9500</v>
      </c>
      <c r="BV138" s="175">
        <v>9500</v>
      </c>
      <c r="BW138" s="175">
        <v>9500</v>
      </c>
      <c r="BX138" s="175">
        <v>9500</v>
      </c>
      <c r="BY138" s="175">
        <v>13000</v>
      </c>
      <c r="BZ138" s="243">
        <f t="shared" ca="1" si="116"/>
        <v>54.937094017094012</v>
      </c>
      <c r="CA138" s="173">
        <f t="shared" ca="1" si="161"/>
        <v>10.300705128205127</v>
      </c>
      <c r="CB138" s="173">
        <f t="shared" ca="1" si="162"/>
        <v>10.300705128205127</v>
      </c>
      <c r="CC138" s="173">
        <f t="shared" ca="1" si="163"/>
        <v>10.300705128205127</v>
      </c>
      <c r="CD138" s="173">
        <f t="shared" ca="1" si="164"/>
        <v>10.300705128205127</v>
      </c>
      <c r="CE138" s="173">
        <f t="shared" ca="1" si="165"/>
        <v>13.734273504273503</v>
      </c>
      <c r="CF138" s="241">
        <f t="shared" ca="1" si="148"/>
        <v>38.280564556237763</v>
      </c>
      <c r="CG138" s="167">
        <f t="shared" ca="1" si="149"/>
        <v>7.1776058542945815</v>
      </c>
      <c r="CH138" s="167">
        <f t="shared" ca="1" si="149"/>
        <v>7.1776058542945815</v>
      </c>
      <c r="CI138" s="167">
        <f t="shared" ca="1" si="149"/>
        <v>7.1776058542945815</v>
      </c>
      <c r="CJ138" s="167">
        <f t="shared" ca="1" si="149"/>
        <v>7.1776058542945815</v>
      </c>
      <c r="CK138" s="167">
        <f t="shared" ca="1" si="149"/>
        <v>9.5701411390594409</v>
      </c>
    </row>
    <row r="139" spans="2:89">
      <c r="B139" s="284">
        <v>18</v>
      </c>
      <c r="C139" s="285">
        <v>64.400000000000006</v>
      </c>
      <c r="D139" s="286"/>
      <c r="E139" s="8" t="s">
        <v>17</v>
      </c>
      <c r="F139" s="9">
        <v>1.69</v>
      </c>
      <c r="G139" s="2">
        <v>1.73</v>
      </c>
      <c r="H139" s="2">
        <v>1.8149999999999999</v>
      </c>
      <c r="I139" s="2">
        <v>1.8450000000000002</v>
      </c>
      <c r="J139" s="2">
        <v>1.96</v>
      </c>
      <c r="K139" s="2">
        <v>1.93</v>
      </c>
      <c r="L139" s="2">
        <v>1.9449999999999998</v>
      </c>
      <c r="M139" s="2">
        <v>2</v>
      </c>
      <c r="N139" s="2">
        <v>1.6549999999999998</v>
      </c>
      <c r="O139" s="2">
        <v>1.74</v>
      </c>
      <c r="P139" s="2">
        <v>1.9350000000000001</v>
      </c>
      <c r="Q139" s="2">
        <v>1.895</v>
      </c>
      <c r="R139" s="3"/>
      <c r="AC139" s="164" t="s">
        <v>142</v>
      </c>
      <c r="AD139" s="164">
        <v>48</v>
      </c>
      <c r="AE139" s="165">
        <v>9</v>
      </c>
      <c r="AF139" s="165">
        <v>9</v>
      </c>
      <c r="AG139" s="165">
        <v>9</v>
      </c>
      <c r="AH139" s="165">
        <v>9</v>
      </c>
      <c r="AI139" s="165">
        <v>18</v>
      </c>
      <c r="AJ139" s="501"/>
      <c r="AK139" s="241">
        <f t="shared" ca="1" si="104"/>
        <v>48.489999999999995</v>
      </c>
      <c r="AL139" s="167">
        <f t="shared" ca="1" si="150"/>
        <v>8.0816666666666652</v>
      </c>
      <c r="AM139" s="167">
        <f t="shared" ca="1" si="151"/>
        <v>8.0816666666666652</v>
      </c>
      <c r="AN139" s="167">
        <f t="shared" ca="1" si="152"/>
        <v>8.0816666666666652</v>
      </c>
      <c r="AO139" s="167">
        <f t="shared" ca="1" si="153"/>
        <v>8.0816666666666652</v>
      </c>
      <c r="AP139" s="167">
        <f t="shared" ca="1" si="154"/>
        <v>16.16333333333333</v>
      </c>
      <c r="AQ139" s="242">
        <f t="shared" ca="1" si="145"/>
        <v>61.673555555555552</v>
      </c>
      <c r="AR139" s="170">
        <f ca="1">INDEX('Cap based on indoor unit SZ'!$J$6:$J$21,MATCH(AE139,'Cap based on indoor unit SZ'!$I$6:$I$21))</f>
        <v>10.463111111111111</v>
      </c>
      <c r="AS139" s="170">
        <f ca="1">INDEX('Cap based on indoor unit SZ'!$J$6:$J$21,MATCH(AF139,'Cap based on indoor unit SZ'!$I$6:$I$21))</f>
        <v>10.463111111111111</v>
      </c>
      <c r="AT139" s="170">
        <f ca="1">INDEX('Cap based on indoor unit SZ'!$J$6:$J$21,MATCH(AG139,'Cap based on indoor unit SZ'!$I$6:$I$21))</f>
        <v>10.463111111111111</v>
      </c>
      <c r="AU139" s="170">
        <f ca="1">INDEX('Cap based on indoor unit SZ'!$J$6:$J$21,MATCH(AH139,'Cap based on indoor unit SZ'!$I$6:$I$21))</f>
        <v>10.463111111111111</v>
      </c>
      <c r="AV139" s="170">
        <f ca="1">INDEX('Cap based on indoor unit SZ'!$J$6:$J$21,MATCH(AI139,'Cap based on indoor unit SZ'!$I$6:$I$21))</f>
        <v>19.821111111111112</v>
      </c>
      <c r="AW139" s="242">
        <f t="shared" si="108"/>
        <v>50</v>
      </c>
      <c r="AX139" s="170">
        <v>8.5</v>
      </c>
      <c r="AY139" s="170">
        <v>8.5</v>
      </c>
      <c r="AZ139" s="170">
        <v>8.5</v>
      </c>
      <c r="BA139" s="170">
        <v>8.5</v>
      </c>
      <c r="BB139" s="170">
        <v>16</v>
      </c>
      <c r="BC139" s="243">
        <f t="shared" ca="1" si="146"/>
        <v>48.489999999999995</v>
      </c>
      <c r="BD139" s="173">
        <f t="shared" ca="1" si="155"/>
        <v>8.0816666666666652</v>
      </c>
      <c r="BE139" s="173">
        <f t="shared" ca="1" si="155"/>
        <v>8.0816666666666652</v>
      </c>
      <c r="BF139" s="173">
        <f t="shared" ca="1" si="155"/>
        <v>8.0816666666666652</v>
      </c>
      <c r="BG139" s="173">
        <f t="shared" ca="1" si="155"/>
        <v>8.0816666666666652</v>
      </c>
      <c r="BH139" s="173">
        <f t="shared" ca="1" si="155"/>
        <v>16.16333333333333</v>
      </c>
      <c r="BI139" s="241">
        <f t="shared" ca="1" si="112"/>
        <v>54.937094017094012</v>
      </c>
      <c r="BJ139" s="167">
        <f t="shared" ca="1" si="156"/>
        <v>9.1561823361823347</v>
      </c>
      <c r="BK139" s="167">
        <f t="shared" ca="1" si="157"/>
        <v>9.1561823361823347</v>
      </c>
      <c r="BL139" s="167">
        <f t="shared" ca="1" si="158"/>
        <v>9.1561823361823347</v>
      </c>
      <c r="BM139" s="167">
        <f t="shared" ca="1" si="159"/>
        <v>9.1561823361823347</v>
      </c>
      <c r="BN139" s="167">
        <f t="shared" ca="1" si="160"/>
        <v>18.312364672364669</v>
      </c>
      <c r="BO139" s="242">
        <f t="shared" ca="1" si="147"/>
        <v>72.422902564102557</v>
      </c>
      <c r="BP139" s="170">
        <f ca="1">INDEX('Cap based on indoor unit SZ'!$V$43:$V$58,MATCH(AE139,'Cap based on indoor unit SZ'!$U$43:$U$58))</f>
        <v>11.956020512820512</v>
      </c>
      <c r="BQ139" s="170">
        <f ca="1">INDEX('Cap based on indoor unit SZ'!$V$43:$V$58,MATCH(AF139,'Cap based on indoor unit SZ'!$U$43:$U$58))</f>
        <v>11.956020512820512</v>
      </c>
      <c r="BR139" s="170">
        <f ca="1">INDEX('Cap based on indoor unit SZ'!$V$43:$V$58,MATCH(AG139,'Cap based on indoor unit SZ'!$U$43:$U$58))</f>
        <v>11.956020512820512</v>
      </c>
      <c r="BS139" s="170">
        <f ca="1">INDEX('Cap based on indoor unit SZ'!$V$43:$V$58,MATCH(AH139,'Cap based on indoor unit SZ'!$U$43:$U$58))</f>
        <v>11.956020512820512</v>
      </c>
      <c r="BT139" s="170">
        <f ca="1">INDEX('Cap based on indoor unit SZ'!$V$43:$V$58,MATCH(AI139,'Cap based on indoor unit SZ'!$U$43:$U$58))</f>
        <v>24.598820512820513</v>
      </c>
      <c r="BU139" s="175">
        <v>9000</v>
      </c>
      <c r="BV139" s="175">
        <v>9000</v>
      </c>
      <c r="BW139" s="175">
        <v>9000</v>
      </c>
      <c r="BX139" s="175">
        <v>9000</v>
      </c>
      <c r="BY139" s="175">
        <v>16500</v>
      </c>
      <c r="BZ139" s="243">
        <f t="shared" ca="1" si="116"/>
        <v>54.937094017094012</v>
      </c>
      <c r="CA139" s="173">
        <f t="shared" ca="1" si="161"/>
        <v>9.1561823361823347</v>
      </c>
      <c r="CB139" s="173">
        <f t="shared" ca="1" si="162"/>
        <v>9.1561823361823347</v>
      </c>
      <c r="CC139" s="173">
        <f t="shared" ca="1" si="163"/>
        <v>9.1561823361823347</v>
      </c>
      <c r="CD139" s="173">
        <f t="shared" ca="1" si="164"/>
        <v>9.1561823361823347</v>
      </c>
      <c r="CE139" s="173">
        <f t="shared" ca="1" si="165"/>
        <v>18.312364672364669</v>
      </c>
      <c r="CF139" s="241">
        <f t="shared" ca="1" si="148"/>
        <v>38.280564556237763</v>
      </c>
      <c r="CG139" s="167">
        <f t="shared" ca="1" si="149"/>
        <v>6.3800940927062939</v>
      </c>
      <c r="CH139" s="167">
        <f t="shared" ca="1" si="149"/>
        <v>6.3800940927062939</v>
      </c>
      <c r="CI139" s="167">
        <f t="shared" ca="1" si="149"/>
        <v>6.3800940927062939</v>
      </c>
      <c r="CJ139" s="167">
        <f t="shared" ca="1" si="149"/>
        <v>6.3800940927062939</v>
      </c>
      <c r="CK139" s="167">
        <f t="shared" ca="1" si="149"/>
        <v>12.760188185412588</v>
      </c>
    </row>
    <row r="140" spans="2:89">
      <c r="B140" s="284">
        <v>18</v>
      </c>
      <c r="C140" s="287">
        <v>69</v>
      </c>
      <c r="D140" s="288"/>
      <c r="E140" s="8" t="s">
        <v>17</v>
      </c>
      <c r="F140" s="9">
        <v>1.4350000000000001</v>
      </c>
      <c r="G140" s="2">
        <v>1.4649999999999999</v>
      </c>
      <c r="H140" s="2">
        <v>1.5</v>
      </c>
      <c r="I140" s="2">
        <v>1.51</v>
      </c>
      <c r="J140" s="2">
        <v>1.96</v>
      </c>
      <c r="K140" s="2">
        <v>1.6549999999999998</v>
      </c>
      <c r="L140" s="2">
        <v>1.6949999999999998</v>
      </c>
      <c r="M140" s="2">
        <v>1.8199999999999998</v>
      </c>
      <c r="N140" s="2">
        <v>1.83</v>
      </c>
      <c r="O140" s="2">
        <v>1.91</v>
      </c>
      <c r="P140" s="2">
        <v>1.9750000000000001</v>
      </c>
      <c r="Q140" s="2">
        <v>1.78</v>
      </c>
      <c r="R140" s="3"/>
      <c r="AC140" s="164" t="s">
        <v>141</v>
      </c>
      <c r="AD140" s="164">
        <v>48</v>
      </c>
      <c r="AE140" s="165">
        <v>9</v>
      </c>
      <c r="AF140" s="165">
        <v>9</v>
      </c>
      <c r="AG140" s="165">
        <v>9</v>
      </c>
      <c r="AH140" s="165">
        <v>9</v>
      </c>
      <c r="AI140" s="165">
        <v>24</v>
      </c>
      <c r="AJ140" s="501"/>
      <c r="AK140" s="241">
        <f t="shared" ca="1" si="104"/>
        <v>48.49</v>
      </c>
      <c r="AL140" s="167">
        <f t="shared" ca="1" si="150"/>
        <v>7.2735000000000003</v>
      </c>
      <c r="AM140" s="167">
        <f t="shared" ca="1" si="151"/>
        <v>7.2735000000000003</v>
      </c>
      <c r="AN140" s="167">
        <f t="shared" ca="1" si="152"/>
        <v>7.2735000000000003</v>
      </c>
      <c r="AO140" s="167">
        <f t="shared" ca="1" si="153"/>
        <v>7.2735000000000003</v>
      </c>
      <c r="AP140" s="167">
        <f t="shared" ca="1" si="154"/>
        <v>19.396000000000001</v>
      </c>
      <c r="AQ140" s="242">
        <f t="shared" ca="1" si="145"/>
        <v>66.304666666666662</v>
      </c>
      <c r="AR140" s="170">
        <f ca="1">INDEX('Cap based on indoor unit SZ'!$J$6:$J$21,MATCH(AE140,'Cap based on indoor unit SZ'!$I$6:$I$21))</f>
        <v>10.463111111111111</v>
      </c>
      <c r="AS140" s="170">
        <f ca="1">INDEX('Cap based on indoor unit SZ'!$J$6:$J$21,MATCH(AF140,'Cap based on indoor unit SZ'!$I$6:$I$21))</f>
        <v>10.463111111111111</v>
      </c>
      <c r="AT140" s="170">
        <f ca="1">INDEX('Cap based on indoor unit SZ'!$J$6:$J$21,MATCH(AG140,'Cap based on indoor unit SZ'!$I$6:$I$21))</f>
        <v>10.463111111111111</v>
      </c>
      <c r="AU140" s="170">
        <f ca="1">INDEX('Cap based on indoor unit SZ'!$J$6:$J$21,MATCH(AH140,'Cap based on indoor unit SZ'!$I$6:$I$21))</f>
        <v>10.463111111111111</v>
      </c>
      <c r="AV140" s="170">
        <f ca="1">INDEX('Cap based on indoor unit SZ'!$J$6:$J$21,MATCH(AI140,'Cap based on indoor unit SZ'!$I$6:$I$21))</f>
        <v>24.452222222222218</v>
      </c>
      <c r="AW140" s="242">
        <f t="shared" si="108"/>
        <v>52</v>
      </c>
      <c r="AX140" s="170">
        <v>8</v>
      </c>
      <c r="AY140" s="170">
        <v>8</v>
      </c>
      <c r="AZ140" s="170">
        <v>8</v>
      </c>
      <c r="BA140" s="170">
        <v>8</v>
      </c>
      <c r="BB140" s="170">
        <v>20</v>
      </c>
      <c r="BC140" s="243">
        <f t="shared" ca="1" si="146"/>
        <v>48.49</v>
      </c>
      <c r="BD140" s="173">
        <f t="shared" ca="1" si="155"/>
        <v>7.2735000000000003</v>
      </c>
      <c r="BE140" s="173">
        <f t="shared" ca="1" si="155"/>
        <v>7.2735000000000003</v>
      </c>
      <c r="BF140" s="173">
        <f t="shared" ca="1" si="155"/>
        <v>7.2735000000000003</v>
      </c>
      <c r="BG140" s="173">
        <f t="shared" ca="1" si="155"/>
        <v>7.2735000000000003</v>
      </c>
      <c r="BH140" s="173">
        <f t="shared" ca="1" si="155"/>
        <v>19.396000000000001</v>
      </c>
      <c r="BI140" s="241">
        <f t="shared" ca="1" si="112"/>
        <v>54.937094017094012</v>
      </c>
      <c r="BJ140" s="167">
        <f t="shared" ca="1" si="156"/>
        <v>8.2405641025641021</v>
      </c>
      <c r="BK140" s="167">
        <f t="shared" ca="1" si="157"/>
        <v>8.2405641025641021</v>
      </c>
      <c r="BL140" s="167">
        <f t="shared" ca="1" si="158"/>
        <v>8.2405641025641021</v>
      </c>
      <c r="BM140" s="167">
        <f t="shared" ca="1" si="159"/>
        <v>8.2405641025641021</v>
      </c>
      <c r="BN140" s="167">
        <f t="shared" ca="1" si="160"/>
        <v>21.974837606837603</v>
      </c>
      <c r="BO140" s="242">
        <f t="shared" ca="1" si="147"/>
        <v>78.114082051282054</v>
      </c>
      <c r="BP140" s="170">
        <f ca="1">INDEX('Cap based on indoor unit SZ'!$V$43:$V$58,MATCH(AE140,'Cap based on indoor unit SZ'!$U$43:$U$58))</f>
        <v>11.956020512820512</v>
      </c>
      <c r="BQ140" s="170">
        <f ca="1">INDEX('Cap based on indoor unit SZ'!$V$43:$V$58,MATCH(AF140,'Cap based on indoor unit SZ'!$U$43:$U$58))</f>
        <v>11.956020512820512</v>
      </c>
      <c r="BR140" s="170">
        <f ca="1">INDEX('Cap based on indoor unit SZ'!$V$43:$V$58,MATCH(AG140,'Cap based on indoor unit SZ'!$U$43:$U$58))</f>
        <v>11.956020512820512</v>
      </c>
      <c r="BS140" s="170">
        <f ca="1">INDEX('Cap based on indoor unit SZ'!$V$43:$V$58,MATCH(AH140,'Cap based on indoor unit SZ'!$U$43:$U$58))</f>
        <v>11.956020512820512</v>
      </c>
      <c r="BT140" s="170">
        <f ca="1">INDEX('Cap based on indoor unit SZ'!$V$43:$V$58,MATCH(AI140,'Cap based on indoor unit SZ'!$U$43:$U$58))</f>
        <v>30.290000000000003</v>
      </c>
      <c r="BU140" s="175">
        <v>8500</v>
      </c>
      <c r="BV140" s="175">
        <v>8500</v>
      </c>
      <c r="BW140" s="175">
        <v>8500</v>
      </c>
      <c r="BX140" s="175">
        <v>8500</v>
      </c>
      <c r="BY140" s="175">
        <v>20500</v>
      </c>
      <c r="BZ140" s="243">
        <f t="shared" ca="1" si="116"/>
        <v>54.937094017094012</v>
      </c>
      <c r="CA140" s="173">
        <f t="shared" ca="1" si="161"/>
        <v>8.2405641025641021</v>
      </c>
      <c r="CB140" s="173">
        <f t="shared" ca="1" si="162"/>
        <v>8.2405641025641021</v>
      </c>
      <c r="CC140" s="173">
        <f t="shared" ca="1" si="163"/>
        <v>8.2405641025641021</v>
      </c>
      <c r="CD140" s="173">
        <f t="shared" ca="1" si="164"/>
        <v>8.2405641025641021</v>
      </c>
      <c r="CE140" s="173">
        <f t="shared" ca="1" si="165"/>
        <v>21.974837606837603</v>
      </c>
      <c r="CF140" s="241">
        <f t="shared" ca="1" si="148"/>
        <v>38.280564556237771</v>
      </c>
      <c r="CG140" s="167">
        <f t="shared" ca="1" si="149"/>
        <v>5.7420846834356656</v>
      </c>
      <c r="CH140" s="167">
        <f t="shared" ca="1" si="149"/>
        <v>5.7420846834356656</v>
      </c>
      <c r="CI140" s="167">
        <f t="shared" ca="1" si="149"/>
        <v>5.7420846834356656</v>
      </c>
      <c r="CJ140" s="167">
        <f t="shared" ca="1" si="149"/>
        <v>5.7420846834356656</v>
      </c>
      <c r="CK140" s="167">
        <f t="shared" ca="1" si="149"/>
        <v>15.312225822495108</v>
      </c>
    </row>
    <row r="141" spans="2:89">
      <c r="B141" s="284">
        <v>18</v>
      </c>
      <c r="C141" s="289">
        <v>71.599999999999994</v>
      </c>
      <c r="D141" s="290"/>
      <c r="E141" s="8" t="s">
        <v>17</v>
      </c>
      <c r="F141" s="9">
        <v>1.4649999999999999</v>
      </c>
      <c r="G141" s="2">
        <v>1.4950000000000001</v>
      </c>
      <c r="H141" s="2">
        <v>1.53</v>
      </c>
      <c r="I141" s="2">
        <v>1.54</v>
      </c>
      <c r="J141" s="2">
        <v>2.0299999999999998</v>
      </c>
      <c r="K141" s="2">
        <v>1.6850000000000001</v>
      </c>
      <c r="L141" s="2">
        <v>1.7250000000000001</v>
      </c>
      <c r="M141" s="2">
        <v>1.85</v>
      </c>
      <c r="N141" s="2">
        <v>1.8599999999999999</v>
      </c>
      <c r="O141" s="2">
        <v>1.94</v>
      </c>
      <c r="P141" s="2">
        <v>2.0049999999999999</v>
      </c>
      <c r="Q141" s="2">
        <v>1.81</v>
      </c>
      <c r="R141" s="15"/>
      <c r="AC141" s="164" t="s">
        <v>140</v>
      </c>
      <c r="AD141" s="164">
        <v>48</v>
      </c>
      <c r="AE141" s="165">
        <v>9</v>
      </c>
      <c r="AF141" s="165">
        <v>9</v>
      </c>
      <c r="AG141" s="165">
        <v>9</v>
      </c>
      <c r="AH141" s="165">
        <v>12</v>
      </c>
      <c r="AI141" s="165">
        <v>12</v>
      </c>
      <c r="AJ141" s="501"/>
      <c r="AK141" s="241">
        <f t="shared" ca="1" si="104"/>
        <v>48.489999999999995</v>
      </c>
      <c r="AL141" s="167">
        <f t="shared" ca="1" si="150"/>
        <v>8.5570588235294114</v>
      </c>
      <c r="AM141" s="167">
        <f t="shared" ca="1" si="151"/>
        <v>8.5570588235294114</v>
      </c>
      <c r="AN141" s="167">
        <f t="shared" ca="1" si="152"/>
        <v>8.5570588235294114</v>
      </c>
      <c r="AO141" s="167">
        <f t="shared" ca="1" si="153"/>
        <v>11.409411764705881</v>
      </c>
      <c r="AP141" s="167">
        <f t="shared" ca="1" si="154"/>
        <v>11.409411764705881</v>
      </c>
      <c r="AQ141" s="242">
        <f t="shared" ca="1" si="145"/>
        <v>57.547111111111114</v>
      </c>
      <c r="AR141" s="170">
        <f ca="1">INDEX('Cap based on indoor unit SZ'!$J$6:$J$21,MATCH(AE141,'Cap based on indoor unit SZ'!$I$6:$I$21))</f>
        <v>10.463111111111111</v>
      </c>
      <c r="AS141" s="170">
        <f ca="1">INDEX('Cap based on indoor unit SZ'!$J$6:$J$21,MATCH(AF141,'Cap based on indoor unit SZ'!$I$6:$I$21))</f>
        <v>10.463111111111111</v>
      </c>
      <c r="AT141" s="170">
        <f ca="1">INDEX('Cap based on indoor unit SZ'!$J$6:$J$21,MATCH(AG141,'Cap based on indoor unit SZ'!$I$6:$I$21))</f>
        <v>10.463111111111111</v>
      </c>
      <c r="AU141" s="170">
        <f ca="1">INDEX('Cap based on indoor unit SZ'!$J$6:$J$21,MATCH(AH141,'Cap based on indoor unit SZ'!$I$6:$I$21))</f>
        <v>13.078888888888891</v>
      </c>
      <c r="AV141" s="170">
        <f ca="1">INDEX('Cap based on indoor unit SZ'!$J$6:$J$21,MATCH(AI141,'Cap based on indoor unit SZ'!$I$6:$I$21))</f>
        <v>13.078888888888891</v>
      </c>
      <c r="AW141" s="242">
        <f t="shared" si="108"/>
        <v>49</v>
      </c>
      <c r="AX141" s="170">
        <v>9</v>
      </c>
      <c r="AY141" s="170">
        <v>9</v>
      </c>
      <c r="AZ141" s="170">
        <v>9</v>
      </c>
      <c r="BA141" s="170">
        <v>11</v>
      </c>
      <c r="BB141" s="170">
        <v>11</v>
      </c>
      <c r="BC141" s="243">
        <f t="shared" ca="1" si="146"/>
        <v>48.489999999999995</v>
      </c>
      <c r="BD141" s="173">
        <f t="shared" ca="1" si="155"/>
        <v>8.5570588235294114</v>
      </c>
      <c r="BE141" s="173">
        <f t="shared" ca="1" si="155"/>
        <v>8.5570588235294114</v>
      </c>
      <c r="BF141" s="173">
        <f t="shared" ca="1" si="155"/>
        <v>8.5570588235294114</v>
      </c>
      <c r="BG141" s="173">
        <f t="shared" ca="1" si="155"/>
        <v>11.409411764705881</v>
      </c>
      <c r="BH141" s="173">
        <f t="shared" ca="1" si="155"/>
        <v>11.409411764705881</v>
      </c>
      <c r="BI141" s="241">
        <f t="shared" ca="1" si="112"/>
        <v>54.937094017094012</v>
      </c>
      <c r="BJ141" s="167">
        <f t="shared" ca="1" si="156"/>
        <v>9.694781297134238</v>
      </c>
      <c r="BK141" s="167">
        <f t="shared" ca="1" si="157"/>
        <v>9.694781297134238</v>
      </c>
      <c r="BL141" s="167">
        <f t="shared" ca="1" si="158"/>
        <v>9.694781297134238</v>
      </c>
      <c r="BM141" s="167">
        <f t="shared" ca="1" si="159"/>
        <v>12.926375062845651</v>
      </c>
      <c r="BN141" s="167">
        <f t="shared" ca="1" si="160"/>
        <v>12.926375062845651</v>
      </c>
      <c r="BO141" s="242">
        <f t="shared" ca="1" si="147"/>
        <v>65.758112820512807</v>
      </c>
      <c r="BP141" s="170">
        <f ca="1">INDEX('Cap based on indoor unit SZ'!$V$43:$V$58,MATCH(AE141,'Cap based on indoor unit SZ'!$U$43:$U$58))</f>
        <v>11.956020512820512</v>
      </c>
      <c r="BQ141" s="170">
        <f ca="1">INDEX('Cap based on indoor unit SZ'!$V$43:$V$58,MATCH(AF141,'Cap based on indoor unit SZ'!$U$43:$U$58))</f>
        <v>11.956020512820512</v>
      </c>
      <c r="BR141" s="170">
        <f ca="1">INDEX('Cap based on indoor unit SZ'!$V$43:$V$58,MATCH(AG141,'Cap based on indoor unit SZ'!$U$43:$U$58))</f>
        <v>11.956020512820512</v>
      </c>
      <c r="BS141" s="170">
        <f ca="1">INDEX('Cap based on indoor unit SZ'!$V$43:$V$58,MATCH(AH141,'Cap based on indoor unit SZ'!$U$43:$U$58))</f>
        <v>14.945025641025641</v>
      </c>
      <c r="BT141" s="170">
        <f ca="1">INDEX('Cap based on indoor unit SZ'!$V$43:$V$58,MATCH(AI141,'Cap based on indoor unit SZ'!$U$43:$U$58))</f>
        <v>14.945025641025641</v>
      </c>
      <c r="BU141" s="175">
        <v>9000</v>
      </c>
      <c r="BV141" s="175">
        <v>9000</v>
      </c>
      <c r="BW141" s="175">
        <v>9000</v>
      </c>
      <c r="BX141" s="175">
        <v>12000</v>
      </c>
      <c r="BY141" s="175">
        <v>12000</v>
      </c>
      <c r="BZ141" s="243">
        <f t="shared" ca="1" si="116"/>
        <v>54.937094017094012</v>
      </c>
      <c r="CA141" s="173">
        <f t="shared" ca="1" si="161"/>
        <v>9.694781297134238</v>
      </c>
      <c r="CB141" s="173">
        <f t="shared" ca="1" si="162"/>
        <v>9.694781297134238</v>
      </c>
      <c r="CC141" s="173">
        <f t="shared" ca="1" si="163"/>
        <v>9.694781297134238</v>
      </c>
      <c r="CD141" s="173">
        <f t="shared" ca="1" si="164"/>
        <v>12.926375062845651</v>
      </c>
      <c r="CE141" s="173">
        <f t="shared" ca="1" si="165"/>
        <v>12.926375062845651</v>
      </c>
      <c r="CF141" s="241">
        <f t="shared" ca="1" si="148"/>
        <v>38.280564556237771</v>
      </c>
      <c r="CG141" s="167">
        <f t="shared" ca="1" si="149"/>
        <v>6.7553937452184298</v>
      </c>
      <c r="CH141" s="167">
        <f t="shared" ca="1" si="149"/>
        <v>6.7553937452184298</v>
      </c>
      <c r="CI141" s="167">
        <f t="shared" ca="1" si="149"/>
        <v>6.7553937452184298</v>
      </c>
      <c r="CJ141" s="167">
        <f t="shared" ca="1" si="149"/>
        <v>9.0071916602912392</v>
      </c>
      <c r="CK141" s="167">
        <f t="shared" ca="1" si="149"/>
        <v>9.0071916602912392</v>
      </c>
    </row>
    <row r="142" spans="2:89">
      <c r="B142" s="283">
        <v>24</v>
      </c>
      <c r="C142" s="285">
        <v>59</v>
      </c>
      <c r="D142" s="286"/>
      <c r="E142" s="8" t="s">
        <v>17</v>
      </c>
      <c r="F142" s="9">
        <v>2.95</v>
      </c>
      <c r="G142" s="2">
        <v>3.2149999999999999</v>
      </c>
      <c r="H142" s="2">
        <v>3.2549999999999999</v>
      </c>
      <c r="I142" s="2">
        <v>3.4750000000000001</v>
      </c>
      <c r="J142" s="2">
        <v>3.625</v>
      </c>
      <c r="K142" s="2">
        <v>2.68</v>
      </c>
      <c r="L142" s="2">
        <v>2.81</v>
      </c>
      <c r="M142" s="2">
        <v>2.89</v>
      </c>
      <c r="N142" s="2">
        <v>2.67</v>
      </c>
      <c r="O142" s="2">
        <v>2.8</v>
      </c>
      <c r="P142" s="2">
        <v>2.98</v>
      </c>
      <c r="Q142" s="2">
        <v>2.73</v>
      </c>
      <c r="R142" s="3"/>
      <c r="AC142" s="164" t="s">
        <v>139</v>
      </c>
      <c r="AD142" s="164">
        <v>48</v>
      </c>
      <c r="AE142" s="165">
        <v>9</v>
      </c>
      <c r="AF142" s="165">
        <v>9</v>
      </c>
      <c r="AG142" s="165">
        <v>9</v>
      </c>
      <c r="AH142" s="165">
        <v>12</v>
      </c>
      <c r="AI142" s="165">
        <v>18</v>
      </c>
      <c r="AJ142" s="501"/>
      <c r="AK142" s="241">
        <f t="shared" ca="1" si="104"/>
        <v>48.49</v>
      </c>
      <c r="AL142" s="167">
        <f t="shared" ca="1" si="150"/>
        <v>7.656315789473684</v>
      </c>
      <c r="AM142" s="167">
        <f t="shared" ca="1" si="151"/>
        <v>7.656315789473684</v>
      </c>
      <c r="AN142" s="167">
        <f t="shared" ca="1" si="152"/>
        <v>7.656315789473684</v>
      </c>
      <c r="AO142" s="167">
        <f t="shared" ca="1" si="153"/>
        <v>10.208421052631579</v>
      </c>
      <c r="AP142" s="167">
        <f t="shared" ca="1" si="154"/>
        <v>15.312631578947368</v>
      </c>
      <c r="AQ142" s="242">
        <f t="shared" ca="1" si="145"/>
        <v>64.289333333333332</v>
      </c>
      <c r="AR142" s="170">
        <f ca="1">INDEX('Cap based on indoor unit SZ'!$J$6:$J$21,MATCH(AE142,'Cap based on indoor unit SZ'!$I$6:$I$21))</f>
        <v>10.463111111111111</v>
      </c>
      <c r="AS142" s="170">
        <f ca="1">INDEX('Cap based on indoor unit SZ'!$J$6:$J$21,MATCH(AF142,'Cap based on indoor unit SZ'!$I$6:$I$21))</f>
        <v>10.463111111111111</v>
      </c>
      <c r="AT142" s="170">
        <f ca="1">INDEX('Cap based on indoor unit SZ'!$J$6:$J$21,MATCH(AG142,'Cap based on indoor unit SZ'!$I$6:$I$21))</f>
        <v>10.463111111111111</v>
      </c>
      <c r="AU142" s="170">
        <f ca="1">INDEX('Cap based on indoor unit SZ'!$J$6:$J$21,MATCH(AH142,'Cap based on indoor unit SZ'!$I$6:$I$21))</f>
        <v>13.078888888888891</v>
      </c>
      <c r="AV142" s="170">
        <f ca="1">INDEX('Cap based on indoor unit SZ'!$J$6:$J$21,MATCH(AI142,'Cap based on indoor unit SZ'!$I$6:$I$21))</f>
        <v>19.821111111111112</v>
      </c>
      <c r="AW142" s="242">
        <f t="shared" si="108"/>
        <v>51</v>
      </c>
      <c r="AX142" s="170">
        <v>8</v>
      </c>
      <c r="AY142" s="170">
        <v>8</v>
      </c>
      <c r="AZ142" s="170">
        <v>8</v>
      </c>
      <c r="BA142" s="170">
        <v>11</v>
      </c>
      <c r="BB142" s="170">
        <v>16</v>
      </c>
      <c r="BC142" s="243">
        <f t="shared" ca="1" si="146"/>
        <v>48.49</v>
      </c>
      <c r="BD142" s="173">
        <f t="shared" ca="1" si="155"/>
        <v>7.656315789473684</v>
      </c>
      <c r="BE142" s="173">
        <f t="shared" ca="1" si="155"/>
        <v>7.656315789473684</v>
      </c>
      <c r="BF142" s="173">
        <f t="shared" ca="1" si="155"/>
        <v>7.656315789473684</v>
      </c>
      <c r="BG142" s="173">
        <f t="shared" ca="1" si="155"/>
        <v>10.208421052631579</v>
      </c>
      <c r="BH142" s="173">
        <f t="shared" ca="1" si="155"/>
        <v>15.312631578947368</v>
      </c>
      <c r="BI142" s="241">
        <f t="shared" ca="1" si="112"/>
        <v>54.937094017094012</v>
      </c>
      <c r="BJ142" s="167">
        <f t="shared" ca="1" si="156"/>
        <v>8.6742780026990545</v>
      </c>
      <c r="BK142" s="167">
        <f t="shared" ca="1" si="157"/>
        <v>8.6742780026990545</v>
      </c>
      <c r="BL142" s="167">
        <f t="shared" ca="1" si="158"/>
        <v>8.6742780026990545</v>
      </c>
      <c r="BM142" s="167">
        <f t="shared" ca="1" si="159"/>
        <v>11.565704003598739</v>
      </c>
      <c r="BN142" s="167">
        <f t="shared" ca="1" si="160"/>
        <v>17.348556005398109</v>
      </c>
      <c r="BO142" s="242">
        <f t="shared" ca="1" si="147"/>
        <v>75.411907692307679</v>
      </c>
      <c r="BP142" s="170">
        <f ca="1">INDEX('Cap based on indoor unit SZ'!$V$43:$V$58,MATCH(AE142,'Cap based on indoor unit SZ'!$U$43:$U$58))</f>
        <v>11.956020512820512</v>
      </c>
      <c r="BQ142" s="170">
        <f ca="1">INDEX('Cap based on indoor unit SZ'!$V$43:$V$58,MATCH(AF142,'Cap based on indoor unit SZ'!$U$43:$U$58))</f>
        <v>11.956020512820512</v>
      </c>
      <c r="BR142" s="170">
        <f ca="1">INDEX('Cap based on indoor unit SZ'!$V$43:$V$58,MATCH(AG142,'Cap based on indoor unit SZ'!$U$43:$U$58))</f>
        <v>11.956020512820512</v>
      </c>
      <c r="BS142" s="170">
        <f ca="1">INDEX('Cap based on indoor unit SZ'!$V$43:$V$58,MATCH(AH142,'Cap based on indoor unit SZ'!$U$43:$U$58))</f>
        <v>14.945025641025641</v>
      </c>
      <c r="BT142" s="170">
        <f ca="1">INDEX('Cap based on indoor unit SZ'!$V$43:$V$58,MATCH(AI142,'Cap based on indoor unit SZ'!$U$43:$U$58))</f>
        <v>24.598820512820513</v>
      </c>
      <c r="BU142" s="175">
        <v>8500</v>
      </c>
      <c r="BV142" s="175">
        <v>8500</v>
      </c>
      <c r="BW142" s="175">
        <v>8500</v>
      </c>
      <c r="BX142" s="175">
        <v>11500</v>
      </c>
      <c r="BY142" s="175">
        <v>17000</v>
      </c>
      <c r="BZ142" s="243">
        <f t="shared" ca="1" si="116"/>
        <v>54.937094017094012</v>
      </c>
      <c r="CA142" s="173">
        <f t="shared" ca="1" si="161"/>
        <v>8.6742780026990545</v>
      </c>
      <c r="CB142" s="173">
        <f t="shared" ca="1" si="162"/>
        <v>8.6742780026990545</v>
      </c>
      <c r="CC142" s="173">
        <f t="shared" ca="1" si="163"/>
        <v>8.6742780026990545</v>
      </c>
      <c r="CD142" s="173">
        <f t="shared" ca="1" si="164"/>
        <v>11.565704003598739</v>
      </c>
      <c r="CE142" s="173">
        <f t="shared" ca="1" si="165"/>
        <v>17.348556005398109</v>
      </c>
      <c r="CF142" s="241">
        <f t="shared" ca="1" si="148"/>
        <v>38.280564556237771</v>
      </c>
      <c r="CG142" s="167">
        <f t="shared" ca="1" si="149"/>
        <v>6.0442996667743847</v>
      </c>
      <c r="CH142" s="167">
        <f t="shared" ca="1" si="149"/>
        <v>6.0442996667743847</v>
      </c>
      <c r="CI142" s="167">
        <f t="shared" ca="1" si="149"/>
        <v>6.0442996667743847</v>
      </c>
      <c r="CJ142" s="167">
        <f t="shared" ca="1" si="149"/>
        <v>8.0590662223658462</v>
      </c>
      <c r="CK142" s="167">
        <f t="shared" ca="1" si="149"/>
        <v>12.088599333548769</v>
      </c>
    </row>
    <row r="143" spans="2:89">
      <c r="B143" s="283">
        <v>24</v>
      </c>
      <c r="C143" s="287">
        <v>64.400000000000006</v>
      </c>
      <c r="D143" s="288"/>
      <c r="E143" s="8" t="s">
        <v>17</v>
      </c>
      <c r="F143" s="9">
        <v>3.0249999999999999</v>
      </c>
      <c r="G143" s="2">
        <v>3.2949999999999999</v>
      </c>
      <c r="H143" s="2">
        <v>3.335</v>
      </c>
      <c r="I143" s="2">
        <v>3.5599999999999996</v>
      </c>
      <c r="J143" s="2">
        <v>3.7250000000000001</v>
      </c>
      <c r="K143" s="2">
        <v>2.75</v>
      </c>
      <c r="L143" s="2">
        <v>2.88</v>
      </c>
      <c r="M143" s="2">
        <v>2.96</v>
      </c>
      <c r="N143" s="2">
        <v>2.74</v>
      </c>
      <c r="O143" s="2">
        <v>2.91</v>
      </c>
      <c r="P143" s="2">
        <v>3.01</v>
      </c>
      <c r="Q143" s="2">
        <v>2.76</v>
      </c>
      <c r="R143" s="3"/>
      <c r="AC143" s="164" t="s">
        <v>138</v>
      </c>
      <c r="AD143" s="164">
        <v>48</v>
      </c>
      <c r="AE143" s="165">
        <v>9</v>
      </c>
      <c r="AF143" s="165">
        <v>9</v>
      </c>
      <c r="AG143" s="165">
        <v>9</v>
      </c>
      <c r="AH143" s="165">
        <v>18</v>
      </c>
      <c r="AI143" s="165">
        <v>18</v>
      </c>
      <c r="AJ143" s="501"/>
      <c r="AK143" s="241">
        <f t="shared" ca="1" si="104"/>
        <v>48.489999999999995</v>
      </c>
      <c r="AL143" s="167">
        <f t="shared" ca="1" si="150"/>
        <v>6.9271428571428562</v>
      </c>
      <c r="AM143" s="167">
        <f t="shared" ca="1" si="151"/>
        <v>6.9271428571428562</v>
      </c>
      <c r="AN143" s="167">
        <f t="shared" ca="1" si="152"/>
        <v>6.9271428571428562</v>
      </c>
      <c r="AO143" s="167">
        <f t="shared" ca="1" si="153"/>
        <v>13.854285714285712</v>
      </c>
      <c r="AP143" s="167">
        <f t="shared" ca="1" si="154"/>
        <v>13.854285714285712</v>
      </c>
      <c r="AQ143" s="242">
        <f t="shared" ca="1" si="145"/>
        <v>71.031555555555556</v>
      </c>
      <c r="AR143" s="170">
        <f ca="1">INDEX('Cap based on indoor unit SZ'!$J$6:$J$21,MATCH(AE143,'Cap based on indoor unit SZ'!$I$6:$I$21))</f>
        <v>10.463111111111111</v>
      </c>
      <c r="AS143" s="170">
        <f ca="1">INDEX('Cap based on indoor unit SZ'!$J$6:$J$21,MATCH(AF143,'Cap based on indoor unit SZ'!$I$6:$I$21))</f>
        <v>10.463111111111111</v>
      </c>
      <c r="AT143" s="170">
        <f ca="1">INDEX('Cap based on indoor unit SZ'!$J$6:$J$21,MATCH(AG143,'Cap based on indoor unit SZ'!$I$6:$I$21))</f>
        <v>10.463111111111111</v>
      </c>
      <c r="AU143" s="170">
        <f ca="1">INDEX('Cap based on indoor unit SZ'!$J$6:$J$21,MATCH(AH143,'Cap based on indoor unit SZ'!$I$6:$I$21))</f>
        <v>19.821111111111112</v>
      </c>
      <c r="AV143" s="170">
        <f ca="1">INDEX('Cap based on indoor unit SZ'!$J$6:$J$21,MATCH(AI143,'Cap based on indoor unit SZ'!$I$6:$I$21))</f>
        <v>19.821111111111112</v>
      </c>
      <c r="AW143" s="242">
        <f t="shared" si="108"/>
        <v>52.5</v>
      </c>
      <c r="AX143" s="170">
        <v>7.5</v>
      </c>
      <c r="AY143" s="170">
        <v>7.5</v>
      </c>
      <c r="AZ143" s="170">
        <v>7.5</v>
      </c>
      <c r="BA143" s="170">
        <v>15</v>
      </c>
      <c r="BB143" s="170">
        <v>15</v>
      </c>
      <c r="BC143" s="243">
        <f t="shared" ca="1" si="146"/>
        <v>48.489999999999995</v>
      </c>
      <c r="BD143" s="173">
        <f t="shared" ca="1" si="155"/>
        <v>6.9271428571428562</v>
      </c>
      <c r="BE143" s="173">
        <f t="shared" ca="1" si="155"/>
        <v>6.9271428571428562</v>
      </c>
      <c r="BF143" s="173">
        <f t="shared" ca="1" si="155"/>
        <v>6.9271428571428562</v>
      </c>
      <c r="BG143" s="173">
        <f t="shared" ca="1" si="155"/>
        <v>13.854285714285712</v>
      </c>
      <c r="BH143" s="173">
        <f t="shared" ca="1" si="155"/>
        <v>13.854285714285712</v>
      </c>
      <c r="BI143" s="241">
        <f t="shared" ca="1" si="112"/>
        <v>54.937094017094012</v>
      </c>
      <c r="BJ143" s="167">
        <f t="shared" ca="1" si="156"/>
        <v>7.8481562881562876</v>
      </c>
      <c r="BK143" s="167">
        <f t="shared" ca="1" si="157"/>
        <v>7.8481562881562876</v>
      </c>
      <c r="BL143" s="167">
        <f t="shared" ca="1" si="158"/>
        <v>7.8481562881562876</v>
      </c>
      <c r="BM143" s="167">
        <f t="shared" ca="1" si="159"/>
        <v>15.696312576312575</v>
      </c>
      <c r="BN143" s="167">
        <f t="shared" ca="1" si="160"/>
        <v>15.696312576312575</v>
      </c>
      <c r="BO143" s="242">
        <f t="shared" ca="1" si="147"/>
        <v>85.065702564102551</v>
      </c>
      <c r="BP143" s="170">
        <f ca="1">INDEX('Cap based on indoor unit SZ'!$V$43:$V$58,MATCH(AE143,'Cap based on indoor unit SZ'!$U$43:$U$58))</f>
        <v>11.956020512820512</v>
      </c>
      <c r="BQ143" s="170">
        <f ca="1">INDEX('Cap based on indoor unit SZ'!$V$43:$V$58,MATCH(AF143,'Cap based on indoor unit SZ'!$U$43:$U$58))</f>
        <v>11.956020512820512</v>
      </c>
      <c r="BR143" s="170">
        <f ca="1">INDEX('Cap based on indoor unit SZ'!$V$43:$V$58,MATCH(AG143,'Cap based on indoor unit SZ'!$U$43:$U$58))</f>
        <v>11.956020512820512</v>
      </c>
      <c r="BS143" s="170">
        <f ca="1">INDEX('Cap based on indoor unit SZ'!$V$43:$V$58,MATCH(AH143,'Cap based on indoor unit SZ'!$U$43:$U$58))</f>
        <v>24.598820512820513</v>
      </c>
      <c r="BT143" s="170">
        <f ca="1">INDEX('Cap based on indoor unit SZ'!$V$43:$V$58,MATCH(AI143,'Cap based on indoor unit SZ'!$U$43:$U$58))</f>
        <v>24.598820512820513</v>
      </c>
      <c r="BU143" s="175">
        <v>8000</v>
      </c>
      <c r="BV143" s="175">
        <v>8000</v>
      </c>
      <c r="BW143" s="175">
        <v>8000</v>
      </c>
      <c r="BX143" s="175">
        <v>15500</v>
      </c>
      <c r="BY143" s="175">
        <v>15500</v>
      </c>
      <c r="BZ143" s="243">
        <f t="shared" ca="1" si="116"/>
        <v>54.937094017094012</v>
      </c>
      <c r="CA143" s="173">
        <f t="shared" ca="1" si="161"/>
        <v>7.8481562881562876</v>
      </c>
      <c r="CB143" s="173">
        <f t="shared" ca="1" si="162"/>
        <v>7.8481562881562876</v>
      </c>
      <c r="CC143" s="173">
        <f t="shared" ca="1" si="163"/>
        <v>7.8481562881562876</v>
      </c>
      <c r="CD143" s="173">
        <f t="shared" ca="1" si="164"/>
        <v>15.696312576312575</v>
      </c>
      <c r="CE143" s="173">
        <f t="shared" ca="1" si="165"/>
        <v>15.696312576312575</v>
      </c>
      <c r="CF143" s="241">
        <f t="shared" ca="1" si="148"/>
        <v>38.280564556237763</v>
      </c>
      <c r="CG143" s="167">
        <f t="shared" ca="1" si="149"/>
        <v>5.4686520794625375</v>
      </c>
      <c r="CH143" s="167">
        <f t="shared" ca="1" si="149"/>
        <v>5.4686520794625375</v>
      </c>
      <c r="CI143" s="167">
        <f t="shared" ca="1" si="149"/>
        <v>5.4686520794625375</v>
      </c>
      <c r="CJ143" s="167">
        <f t="shared" ca="1" si="149"/>
        <v>10.937304158925075</v>
      </c>
      <c r="CK143" s="167">
        <f t="shared" ca="1" si="149"/>
        <v>10.937304158925075</v>
      </c>
    </row>
    <row r="144" spans="2:89">
      <c r="B144" s="283">
        <v>24</v>
      </c>
      <c r="C144" s="289">
        <v>69</v>
      </c>
      <c r="D144" s="290"/>
      <c r="E144" s="8" t="s">
        <v>17</v>
      </c>
      <c r="F144" s="9">
        <v>3.09</v>
      </c>
      <c r="G144" s="2">
        <v>3.3650000000000002</v>
      </c>
      <c r="H144" s="2">
        <v>3.4050000000000002</v>
      </c>
      <c r="I144" s="2">
        <v>3.6399999999999997</v>
      </c>
      <c r="J144" s="2">
        <v>3.8449999999999998</v>
      </c>
      <c r="K144" s="2">
        <v>2.81</v>
      </c>
      <c r="L144" s="2">
        <v>2.9450000000000003</v>
      </c>
      <c r="M144" s="2">
        <v>3.03</v>
      </c>
      <c r="N144" s="2">
        <v>2.7949999999999999</v>
      </c>
      <c r="O144" s="2">
        <v>2.98</v>
      </c>
      <c r="P144" s="2">
        <v>3.0649999999999999</v>
      </c>
      <c r="Q144" s="2">
        <v>3.1950000000000003</v>
      </c>
      <c r="R144" s="15"/>
      <c r="AC144" s="164" t="s">
        <v>137</v>
      </c>
      <c r="AD144" s="164">
        <v>48</v>
      </c>
      <c r="AE144" s="165">
        <v>9</v>
      </c>
      <c r="AF144" s="165">
        <v>9</v>
      </c>
      <c r="AG144" s="165">
        <v>12</v>
      </c>
      <c r="AH144" s="165">
        <v>12</v>
      </c>
      <c r="AI144" s="165">
        <v>12</v>
      </c>
      <c r="AJ144" s="501"/>
      <c r="AK144" s="241">
        <f t="shared" ca="1" si="104"/>
        <v>48.49</v>
      </c>
      <c r="AL144" s="167">
        <f t="shared" ca="1" si="150"/>
        <v>8.081666666666667</v>
      </c>
      <c r="AM144" s="167">
        <f t="shared" ca="1" si="151"/>
        <v>8.081666666666667</v>
      </c>
      <c r="AN144" s="167">
        <f t="shared" ca="1" si="152"/>
        <v>10.775555555555556</v>
      </c>
      <c r="AO144" s="167">
        <f t="shared" ca="1" si="153"/>
        <v>10.775555555555556</v>
      </c>
      <c r="AP144" s="167">
        <f t="shared" ca="1" si="154"/>
        <v>10.775555555555556</v>
      </c>
      <c r="AQ144" s="242">
        <f t="shared" ca="1" si="145"/>
        <v>60.162888888888894</v>
      </c>
      <c r="AR144" s="170">
        <f ca="1">INDEX('Cap based on indoor unit SZ'!$J$6:$J$21,MATCH(AE144,'Cap based on indoor unit SZ'!$I$6:$I$21))</f>
        <v>10.463111111111111</v>
      </c>
      <c r="AS144" s="170">
        <f ca="1">INDEX('Cap based on indoor unit SZ'!$J$6:$J$21,MATCH(AF144,'Cap based on indoor unit SZ'!$I$6:$I$21))</f>
        <v>10.463111111111111</v>
      </c>
      <c r="AT144" s="170">
        <f ca="1">INDEX('Cap based on indoor unit SZ'!$J$6:$J$21,MATCH(AG144,'Cap based on indoor unit SZ'!$I$6:$I$21))</f>
        <v>13.078888888888891</v>
      </c>
      <c r="AU144" s="170">
        <f ca="1">INDEX('Cap based on indoor unit SZ'!$J$6:$J$21,MATCH(AH144,'Cap based on indoor unit SZ'!$I$6:$I$21))</f>
        <v>13.078888888888891</v>
      </c>
      <c r="AV144" s="170">
        <f ca="1">INDEX('Cap based on indoor unit SZ'!$J$6:$J$21,MATCH(AI144,'Cap based on indoor unit SZ'!$I$6:$I$21))</f>
        <v>13.078888888888891</v>
      </c>
      <c r="AW144" s="242">
        <f t="shared" si="108"/>
        <v>50</v>
      </c>
      <c r="AX144" s="170">
        <v>8.5</v>
      </c>
      <c r="AY144" s="170">
        <v>8.5</v>
      </c>
      <c r="AZ144" s="170">
        <v>11</v>
      </c>
      <c r="BA144" s="170">
        <v>11</v>
      </c>
      <c r="BB144" s="170">
        <v>11</v>
      </c>
      <c r="BC144" s="243">
        <f t="shared" ca="1" si="146"/>
        <v>48.49</v>
      </c>
      <c r="BD144" s="173">
        <f t="shared" ca="1" si="155"/>
        <v>8.081666666666667</v>
      </c>
      <c r="BE144" s="173">
        <f t="shared" ca="1" si="155"/>
        <v>8.081666666666667</v>
      </c>
      <c r="BF144" s="173">
        <f t="shared" ca="1" si="155"/>
        <v>10.775555555555556</v>
      </c>
      <c r="BG144" s="173">
        <f t="shared" ca="1" si="155"/>
        <v>10.775555555555556</v>
      </c>
      <c r="BH144" s="173">
        <f t="shared" ca="1" si="155"/>
        <v>10.775555555555556</v>
      </c>
      <c r="BI144" s="241">
        <f t="shared" ca="1" si="112"/>
        <v>54.937094017094012</v>
      </c>
      <c r="BJ144" s="167">
        <f t="shared" ca="1" si="156"/>
        <v>9.1561823361823365</v>
      </c>
      <c r="BK144" s="167">
        <f t="shared" ca="1" si="157"/>
        <v>9.1561823361823365</v>
      </c>
      <c r="BL144" s="167">
        <f t="shared" ca="1" si="158"/>
        <v>12.208243114909781</v>
      </c>
      <c r="BM144" s="167">
        <f t="shared" ca="1" si="159"/>
        <v>12.208243114909781</v>
      </c>
      <c r="BN144" s="167">
        <f t="shared" ca="1" si="160"/>
        <v>12.208243114909781</v>
      </c>
      <c r="BO144" s="242">
        <f t="shared" ca="1" si="147"/>
        <v>68.747117948717943</v>
      </c>
      <c r="BP144" s="170">
        <f ca="1">INDEX('Cap based on indoor unit SZ'!$V$43:$V$58,MATCH(AE144,'Cap based on indoor unit SZ'!$U$43:$U$58))</f>
        <v>11.956020512820512</v>
      </c>
      <c r="BQ144" s="170">
        <f ca="1">INDEX('Cap based on indoor unit SZ'!$V$43:$V$58,MATCH(AF144,'Cap based on indoor unit SZ'!$U$43:$U$58))</f>
        <v>11.956020512820512</v>
      </c>
      <c r="BR144" s="170">
        <f ca="1">INDEX('Cap based on indoor unit SZ'!$V$43:$V$58,MATCH(AG144,'Cap based on indoor unit SZ'!$U$43:$U$58))</f>
        <v>14.945025641025641</v>
      </c>
      <c r="BS144" s="170">
        <f ca="1">INDEX('Cap based on indoor unit SZ'!$V$43:$V$58,MATCH(AH144,'Cap based on indoor unit SZ'!$U$43:$U$58))</f>
        <v>14.945025641025641</v>
      </c>
      <c r="BT144" s="170">
        <f ca="1">INDEX('Cap based on indoor unit SZ'!$V$43:$V$58,MATCH(AI144,'Cap based on indoor unit SZ'!$U$43:$U$58))</f>
        <v>14.945025641025641</v>
      </c>
      <c r="BU144" s="175">
        <v>9000</v>
      </c>
      <c r="BV144" s="175">
        <v>9000</v>
      </c>
      <c r="BW144" s="175">
        <v>12000</v>
      </c>
      <c r="BX144" s="175">
        <v>12000</v>
      </c>
      <c r="BY144" s="175">
        <v>12000</v>
      </c>
      <c r="BZ144" s="243">
        <f t="shared" ca="1" si="116"/>
        <v>54.937094017094012</v>
      </c>
      <c r="CA144" s="173">
        <f t="shared" ca="1" si="161"/>
        <v>9.1561823361823365</v>
      </c>
      <c r="CB144" s="173">
        <f t="shared" ca="1" si="162"/>
        <v>9.1561823361823365</v>
      </c>
      <c r="CC144" s="173">
        <f t="shared" ca="1" si="163"/>
        <v>12.208243114909781</v>
      </c>
      <c r="CD144" s="173">
        <f t="shared" ca="1" si="164"/>
        <v>12.208243114909781</v>
      </c>
      <c r="CE144" s="173">
        <f t="shared" ca="1" si="165"/>
        <v>12.208243114909781</v>
      </c>
      <c r="CF144" s="241">
        <f t="shared" ca="1" si="148"/>
        <v>38.280564556237771</v>
      </c>
      <c r="CG144" s="167">
        <f t="shared" ca="1" si="149"/>
        <v>6.3800940927062957</v>
      </c>
      <c r="CH144" s="167">
        <f t="shared" ca="1" si="149"/>
        <v>6.3800940927062957</v>
      </c>
      <c r="CI144" s="167">
        <f t="shared" ca="1" si="149"/>
        <v>8.5067921236083937</v>
      </c>
      <c r="CJ144" s="167">
        <f t="shared" ca="1" si="149"/>
        <v>8.5067921236083937</v>
      </c>
      <c r="CK144" s="167">
        <f t="shared" ca="1" si="149"/>
        <v>8.5067921236083937</v>
      </c>
    </row>
    <row r="145" spans="2:89">
      <c r="B145" s="283">
        <v>24</v>
      </c>
      <c r="C145" s="285">
        <v>71.599999999999994</v>
      </c>
      <c r="D145" s="286"/>
      <c r="E145" s="8" t="s">
        <v>17</v>
      </c>
      <c r="F145" s="9">
        <v>3.165</v>
      </c>
      <c r="G145" s="2">
        <v>3.4450000000000003</v>
      </c>
      <c r="H145" s="2">
        <v>3.4849999999999999</v>
      </c>
      <c r="I145" s="2">
        <v>3.7250000000000001</v>
      </c>
      <c r="J145" s="2">
        <v>3.855</v>
      </c>
      <c r="K145" s="2">
        <v>2.87</v>
      </c>
      <c r="L145" s="2">
        <v>3.01</v>
      </c>
      <c r="M145" s="2">
        <v>3.1</v>
      </c>
      <c r="N145" s="2">
        <v>2.86</v>
      </c>
      <c r="O145" s="2">
        <v>3.0350000000000001</v>
      </c>
      <c r="P145" s="2">
        <v>3.0949999999999998</v>
      </c>
      <c r="Q145" s="2">
        <v>3.2250000000000001</v>
      </c>
      <c r="R145" s="3"/>
      <c r="AC145" s="164" t="s">
        <v>136</v>
      </c>
      <c r="AD145" s="164">
        <v>48</v>
      </c>
      <c r="AE145" s="165">
        <v>9</v>
      </c>
      <c r="AF145" s="165">
        <v>9</v>
      </c>
      <c r="AG145" s="165">
        <v>12</v>
      </c>
      <c r="AH145" s="165">
        <v>12</v>
      </c>
      <c r="AI145" s="165">
        <v>18</v>
      </c>
      <c r="AJ145" s="501"/>
      <c r="AK145" s="241">
        <f t="shared" ca="1" si="104"/>
        <v>48.489999999999995</v>
      </c>
      <c r="AL145" s="167">
        <f t="shared" ca="1" si="150"/>
        <v>7.2735000000000003</v>
      </c>
      <c r="AM145" s="167">
        <f t="shared" ca="1" si="151"/>
        <v>7.2735000000000003</v>
      </c>
      <c r="AN145" s="167">
        <f t="shared" ca="1" si="152"/>
        <v>9.6980000000000004</v>
      </c>
      <c r="AO145" s="167">
        <f t="shared" ca="1" si="153"/>
        <v>9.6980000000000004</v>
      </c>
      <c r="AP145" s="167">
        <f t="shared" ca="1" si="154"/>
        <v>14.547000000000001</v>
      </c>
      <c r="AQ145" s="242">
        <f t="shared" ca="1" si="145"/>
        <v>66.905111111111111</v>
      </c>
      <c r="AR145" s="170">
        <f ca="1">INDEX('Cap based on indoor unit SZ'!$J$6:$J$21,MATCH(AE145,'Cap based on indoor unit SZ'!$I$6:$I$21))</f>
        <v>10.463111111111111</v>
      </c>
      <c r="AS145" s="170">
        <f ca="1">INDEX('Cap based on indoor unit SZ'!$J$6:$J$21,MATCH(AF145,'Cap based on indoor unit SZ'!$I$6:$I$21))</f>
        <v>10.463111111111111</v>
      </c>
      <c r="AT145" s="170">
        <f ca="1">INDEX('Cap based on indoor unit SZ'!$J$6:$J$21,MATCH(AG145,'Cap based on indoor unit SZ'!$I$6:$I$21))</f>
        <v>13.078888888888891</v>
      </c>
      <c r="AU145" s="170">
        <f ca="1">INDEX('Cap based on indoor unit SZ'!$J$6:$J$21,MATCH(AH145,'Cap based on indoor unit SZ'!$I$6:$I$21))</f>
        <v>13.078888888888891</v>
      </c>
      <c r="AV145" s="170">
        <f ca="1">INDEX('Cap based on indoor unit SZ'!$J$6:$J$21,MATCH(AI145,'Cap based on indoor unit SZ'!$I$6:$I$21))</f>
        <v>19.821111111111112</v>
      </c>
      <c r="AW145" s="242">
        <f t="shared" si="108"/>
        <v>52</v>
      </c>
      <c r="AX145" s="170">
        <v>8.5</v>
      </c>
      <c r="AY145" s="170">
        <v>8.5</v>
      </c>
      <c r="AZ145" s="170">
        <v>10</v>
      </c>
      <c r="BA145" s="170">
        <v>10</v>
      </c>
      <c r="BB145" s="170">
        <v>15</v>
      </c>
      <c r="BC145" s="243">
        <f t="shared" ca="1" si="146"/>
        <v>48.489999999999995</v>
      </c>
      <c r="BD145" s="173">
        <f t="shared" ca="1" si="155"/>
        <v>7.2735000000000003</v>
      </c>
      <c r="BE145" s="173">
        <f t="shared" ca="1" si="155"/>
        <v>7.2735000000000003</v>
      </c>
      <c r="BF145" s="173">
        <f t="shared" ca="1" si="155"/>
        <v>9.6980000000000004</v>
      </c>
      <c r="BG145" s="173">
        <f t="shared" ca="1" si="155"/>
        <v>9.6980000000000004</v>
      </c>
      <c r="BH145" s="173">
        <f t="shared" ca="1" si="155"/>
        <v>14.547000000000001</v>
      </c>
      <c r="BI145" s="241">
        <f t="shared" ca="1" si="112"/>
        <v>54.937094017094012</v>
      </c>
      <c r="BJ145" s="167">
        <f t="shared" ca="1" si="156"/>
        <v>8.2405641025641021</v>
      </c>
      <c r="BK145" s="167">
        <f t="shared" ca="1" si="157"/>
        <v>8.2405641025641021</v>
      </c>
      <c r="BL145" s="167">
        <f t="shared" ca="1" si="158"/>
        <v>10.987418803418802</v>
      </c>
      <c r="BM145" s="167">
        <f t="shared" ca="1" si="159"/>
        <v>10.987418803418802</v>
      </c>
      <c r="BN145" s="167">
        <f t="shared" ca="1" si="160"/>
        <v>16.481128205128204</v>
      </c>
      <c r="BO145" s="242">
        <f t="shared" ca="1" si="147"/>
        <v>78.400912820512815</v>
      </c>
      <c r="BP145" s="170">
        <f ca="1">INDEX('Cap based on indoor unit SZ'!$V$43:$V$58,MATCH(AE145,'Cap based on indoor unit SZ'!$U$43:$U$58))</f>
        <v>11.956020512820512</v>
      </c>
      <c r="BQ145" s="170">
        <f ca="1">INDEX('Cap based on indoor unit SZ'!$V$43:$V$58,MATCH(AF145,'Cap based on indoor unit SZ'!$U$43:$U$58))</f>
        <v>11.956020512820512</v>
      </c>
      <c r="BR145" s="170">
        <f ca="1">INDEX('Cap based on indoor unit SZ'!$V$43:$V$58,MATCH(AG145,'Cap based on indoor unit SZ'!$U$43:$U$58))</f>
        <v>14.945025641025641</v>
      </c>
      <c r="BS145" s="170">
        <f ca="1">INDEX('Cap based on indoor unit SZ'!$V$43:$V$58,MATCH(AH145,'Cap based on indoor unit SZ'!$U$43:$U$58))</f>
        <v>14.945025641025641</v>
      </c>
      <c r="BT145" s="170">
        <f ca="1">INDEX('Cap based on indoor unit SZ'!$V$43:$V$58,MATCH(AI145,'Cap based on indoor unit SZ'!$U$43:$U$58))</f>
        <v>24.598820512820513</v>
      </c>
      <c r="BU145" s="175">
        <v>8500</v>
      </c>
      <c r="BV145" s="175">
        <v>8500</v>
      </c>
      <c r="BW145" s="175">
        <v>11000</v>
      </c>
      <c r="BX145" s="175">
        <v>11000</v>
      </c>
      <c r="BY145" s="175">
        <v>16000</v>
      </c>
      <c r="BZ145" s="243">
        <f t="shared" ca="1" si="116"/>
        <v>54.937094017094012</v>
      </c>
      <c r="CA145" s="173">
        <f t="shared" ca="1" si="161"/>
        <v>8.2405641025641021</v>
      </c>
      <c r="CB145" s="173">
        <f t="shared" ca="1" si="162"/>
        <v>8.2405641025641021</v>
      </c>
      <c r="CC145" s="173">
        <f t="shared" ca="1" si="163"/>
        <v>10.987418803418802</v>
      </c>
      <c r="CD145" s="173">
        <f t="shared" ca="1" si="164"/>
        <v>10.987418803418802</v>
      </c>
      <c r="CE145" s="173">
        <f t="shared" ca="1" si="165"/>
        <v>16.481128205128204</v>
      </c>
      <c r="CF145" s="241">
        <f t="shared" ca="1" si="148"/>
        <v>38.280564556237771</v>
      </c>
      <c r="CG145" s="167">
        <f t="shared" ca="1" si="149"/>
        <v>5.7420846834356656</v>
      </c>
      <c r="CH145" s="167">
        <f t="shared" ca="1" si="149"/>
        <v>5.7420846834356656</v>
      </c>
      <c r="CI145" s="167">
        <f t="shared" ca="1" si="149"/>
        <v>7.6561129112475541</v>
      </c>
      <c r="CJ145" s="167">
        <f t="shared" ca="1" si="149"/>
        <v>7.6561129112475541</v>
      </c>
      <c r="CK145" s="167">
        <f t="shared" ca="1" si="149"/>
        <v>11.484169366871331</v>
      </c>
    </row>
    <row r="146" spans="2:89">
      <c r="B146" s="283">
        <v>30</v>
      </c>
      <c r="C146" s="287">
        <v>59</v>
      </c>
      <c r="D146" s="288"/>
      <c r="E146" s="8" t="s">
        <v>17</v>
      </c>
      <c r="F146" s="9">
        <v>3.415</v>
      </c>
      <c r="G146" s="2">
        <v>3.4849999999999999</v>
      </c>
      <c r="H146" s="2">
        <v>3.4750000000000001</v>
      </c>
      <c r="I146" s="2">
        <v>3.645</v>
      </c>
      <c r="J146" s="2">
        <v>3.71</v>
      </c>
      <c r="K146" s="2">
        <v>3.74</v>
      </c>
      <c r="L146" s="2">
        <v>3.76</v>
      </c>
      <c r="M146" s="2">
        <v>3.8200000000000003</v>
      </c>
      <c r="N146" s="2">
        <v>3.105</v>
      </c>
      <c r="O146" s="2">
        <v>3.145</v>
      </c>
      <c r="P146" s="2">
        <v>3.2949999999999999</v>
      </c>
      <c r="Q146" s="2">
        <v>3.395</v>
      </c>
      <c r="R146" s="3"/>
      <c r="AC146" s="164" t="s">
        <v>135</v>
      </c>
      <c r="AD146" s="164">
        <v>48</v>
      </c>
      <c r="AE146" s="165">
        <v>9</v>
      </c>
      <c r="AF146" s="165">
        <v>12</v>
      </c>
      <c r="AG146" s="165">
        <v>12</v>
      </c>
      <c r="AH146" s="165">
        <v>12</v>
      </c>
      <c r="AI146" s="165">
        <v>12</v>
      </c>
      <c r="AJ146" s="501"/>
      <c r="AK146" s="241">
        <f t="shared" ca="1" si="104"/>
        <v>48.489999999999995</v>
      </c>
      <c r="AL146" s="167">
        <f t="shared" ca="1" si="150"/>
        <v>7.6563157894736849</v>
      </c>
      <c r="AM146" s="167">
        <f t="shared" ca="1" si="151"/>
        <v>10.208421052631579</v>
      </c>
      <c r="AN146" s="167">
        <f t="shared" ca="1" si="152"/>
        <v>10.208421052631579</v>
      </c>
      <c r="AO146" s="167">
        <f t="shared" ca="1" si="153"/>
        <v>10.208421052631579</v>
      </c>
      <c r="AP146" s="167">
        <f t="shared" ca="1" si="154"/>
        <v>10.208421052631579</v>
      </c>
      <c r="AQ146" s="242">
        <f t="shared" ca="1" si="145"/>
        <v>62.778666666666673</v>
      </c>
      <c r="AR146" s="170">
        <f ca="1">INDEX('Cap based on indoor unit SZ'!$J$6:$J$21,MATCH(AE146,'Cap based on indoor unit SZ'!$I$6:$I$21))</f>
        <v>10.463111111111111</v>
      </c>
      <c r="AS146" s="170">
        <f ca="1">INDEX('Cap based on indoor unit SZ'!$J$6:$J$21,MATCH(AF146,'Cap based on indoor unit SZ'!$I$6:$I$21))</f>
        <v>13.078888888888891</v>
      </c>
      <c r="AT146" s="170">
        <f ca="1">INDEX('Cap based on indoor unit SZ'!$J$6:$J$21,MATCH(AG146,'Cap based on indoor unit SZ'!$I$6:$I$21))</f>
        <v>13.078888888888891</v>
      </c>
      <c r="AU146" s="170">
        <f ca="1">INDEX('Cap based on indoor unit SZ'!$J$6:$J$21,MATCH(AH146,'Cap based on indoor unit SZ'!$I$6:$I$21))</f>
        <v>13.078888888888891</v>
      </c>
      <c r="AV146" s="170">
        <f ca="1">INDEX('Cap based on indoor unit SZ'!$J$6:$J$21,MATCH(AI146,'Cap based on indoor unit SZ'!$I$6:$I$21))</f>
        <v>13.078888888888891</v>
      </c>
      <c r="AW146" s="242">
        <f t="shared" si="108"/>
        <v>50</v>
      </c>
      <c r="AX146" s="170">
        <v>8</v>
      </c>
      <c r="AY146" s="170">
        <v>10.5</v>
      </c>
      <c r="AZ146" s="170">
        <v>10.5</v>
      </c>
      <c r="BA146" s="170">
        <v>10.5</v>
      </c>
      <c r="BB146" s="170">
        <v>10.5</v>
      </c>
      <c r="BC146" s="243">
        <f t="shared" ca="1" si="146"/>
        <v>48.489999999999995</v>
      </c>
      <c r="BD146" s="173">
        <f t="shared" ca="1" si="155"/>
        <v>7.6563157894736849</v>
      </c>
      <c r="BE146" s="173">
        <f t="shared" ca="1" si="155"/>
        <v>10.208421052631579</v>
      </c>
      <c r="BF146" s="173">
        <f t="shared" ca="1" si="155"/>
        <v>10.208421052631579</v>
      </c>
      <c r="BG146" s="173">
        <f t="shared" ca="1" si="155"/>
        <v>10.208421052631579</v>
      </c>
      <c r="BH146" s="173">
        <f t="shared" ca="1" si="155"/>
        <v>10.208421052631579</v>
      </c>
      <c r="BI146" s="241">
        <f t="shared" ca="1" si="112"/>
        <v>54.937094017094019</v>
      </c>
      <c r="BJ146" s="167">
        <f t="shared" ca="1" si="156"/>
        <v>8.6742780026990562</v>
      </c>
      <c r="BK146" s="167">
        <f t="shared" ca="1" si="157"/>
        <v>11.565704003598741</v>
      </c>
      <c r="BL146" s="167">
        <f t="shared" ca="1" si="158"/>
        <v>11.565704003598741</v>
      </c>
      <c r="BM146" s="167">
        <f t="shared" ca="1" si="159"/>
        <v>11.565704003598741</v>
      </c>
      <c r="BN146" s="167">
        <f t="shared" ca="1" si="160"/>
        <v>11.565704003598741</v>
      </c>
      <c r="BO146" s="242">
        <f t="shared" ca="1" si="147"/>
        <v>71.736123076923064</v>
      </c>
      <c r="BP146" s="170">
        <f ca="1">INDEX('Cap based on indoor unit SZ'!$V$43:$V$58,MATCH(AE146,'Cap based on indoor unit SZ'!$U$43:$U$58))</f>
        <v>11.956020512820512</v>
      </c>
      <c r="BQ146" s="170">
        <f ca="1">INDEX('Cap based on indoor unit SZ'!$V$43:$V$58,MATCH(AF146,'Cap based on indoor unit SZ'!$U$43:$U$58))</f>
        <v>14.945025641025641</v>
      </c>
      <c r="BR146" s="170">
        <f ca="1">INDEX('Cap based on indoor unit SZ'!$V$43:$V$58,MATCH(AG146,'Cap based on indoor unit SZ'!$U$43:$U$58))</f>
        <v>14.945025641025641</v>
      </c>
      <c r="BS146" s="170">
        <f ca="1">INDEX('Cap based on indoor unit SZ'!$V$43:$V$58,MATCH(AH146,'Cap based on indoor unit SZ'!$U$43:$U$58))</f>
        <v>14.945025641025641</v>
      </c>
      <c r="BT146" s="170">
        <f ca="1">INDEX('Cap based on indoor unit SZ'!$V$43:$V$58,MATCH(AI146,'Cap based on indoor unit SZ'!$U$43:$U$58))</f>
        <v>14.945025641025641</v>
      </c>
      <c r="BU146" s="175">
        <v>8500</v>
      </c>
      <c r="BV146" s="175">
        <v>11000</v>
      </c>
      <c r="BW146" s="175">
        <v>11000</v>
      </c>
      <c r="BX146" s="175">
        <v>11000</v>
      </c>
      <c r="BY146" s="175">
        <v>11000</v>
      </c>
      <c r="BZ146" s="243">
        <f t="shared" ca="1" si="116"/>
        <v>54.937094017094019</v>
      </c>
      <c r="CA146" s="173">
        <f t="shared" ca="1" si="161"/>
        <v>8.6742780026990562</v>
      </c>
      <c r="CB146" s="173">
        <f t="shared" ca="1" si="162"/>
        <v>11.565704003598741</v>
      </c>
      <c r="CC146" s="173">
        <f t="shared" ca="1" si="163"/>
        <v>11.565704003598741</v>
      </c>
      <c r="CD146" s="173">
        <f t="shared" ca="1" si="164"/>
        <v>11.565704003598741</v>
      </c>
      <c r="CE146" s="173">
        <f t="shared" ca="1" si="165"/>
        <v>11.565704003598741</v>
      </c>
      <c r="CF146" s="241">
        <f t="shared" ca="1" si="148"/>
        <v>38.280564556237771</v>
      </c>
      <c r="CG146" s="167">
        <f t="shared" ca="1" si="149"/>
        <v>6.0442996667743856</v>
      </c>
      <c r="CH146" s="167">
        <f t="shared" ca="1" si="149"/>
        <v>8.0590662223658462</v>
      </c>
      <c r="CI146" s="167">
        <f t="shared" ca="1" si="149"/>
        <v>8.0590662223658462</v>
      </c>
      <c r="CJ146" s="167">
        <f t="shared" ca="1" si="149"/>
        <v>8.0590662223658462</v>
      </c>
      <c r="CK146" s="167">
        <f t="shared" ca="1" si="149"/>
        <v>8.0590662223658462</v>
      </c>
    </row>
    <row r="147" spans="2:89">
      <c r="B147" s="283">
        <v>30</v>
      </c>
      <c r="C147" s="289">
        <v>64.400000000000006</v>
      </c>
      <c r="D147" s="290"/>
      <c r="E147" s="8" t="s">
        <v>17</v>
      </c>
      <c r="F147" s="9">
        <v>3.4450000000000003</v>
      </c>
      <c r="G147" s="2">
        <v>3.5150000000000001</v>
      </c>
      <c r="H147" s="2">
        <v>3.5549999999999997</v>
      </c>
      <c r="I147" s="2">
        <v>3.7800000000000002</v>
      </c>
      <c r="J147" s="2">
        <v>3.84</v>
      </c>
      <c r="K147" s="2">
        <v>3.87</v>
      </c>
      <c r="L147" s="2">
        <v>3.8899999999999997</v>
      </c>
      <c r="M147" s="2">
        <v>3.95</v>
      </c>
      <c r="N147" s="2">
        <v>3.1349999999999998</v>
      </c>
      <c r="O147" s="2">
        <v>3.1749999999999998</v>
      </c>
      <c r="P147" s="2">
        <v>3.3250000000000002</v>
      </c>
      <c r="Q147" s="2">
        <v>3.4249999999999998</v>
      </c>
      <c r="R147" s="15"/>
      <c r="AC147" s="164" t="s">
        <v>134</v>
      </c>
      <c r="AD147" s="164">
        <v>48</v>
      </c>
      <c r="AE147" s="165">
        <v>9</v>
      </c>
      <c r="AF147" s="165">
        <v>12</v>
      </c>
      <c r="AG147" s="165">
        <v>12</v>
      </c>
      <c r="AH147" s="165">
        <v>12</v>
      </c>
      <c r="AI147" s="165">
        <v>18</v>
      </c>
      <c r="AJ147" s="501"/>
      <c r="AK147" s="241">
        <f t="shared" ca="1" si="104"/>
        <v>48.49</v>
      </c>
      <c r="AL147" s="167">
        <f t="shared" ca="1" si="150"/>
        <v>6.927142857142857</v>
      </c>
      <c r="AM147" s="167">
        <f t="shared" ca="1" si="151"/>
        <v>9.2361904761904761</v>
      </c>
      <c r="AN147" s="167">
        <f t="shared" ca="1" si="152"/>
        <v>9.2361904761904761</v>
      </c>
      <c r="AO147" s="167">
        <f t="shared" ca="1" si="153"/>
        <v>9.2361904761904761</v>
      </c>
      <c r="AP147" s="167">
        <f t="shared" ca="1" si="154"/>
        <v>13.854285714285714</v>
      </c>
      <c r="AQ147" s="242">
        <f t="shared" ca="1" si="145"/>
        <v>69.520888888888891</v>
      </c>
      <c r="AR147" s="170">
        <f ca="1">INDEX('Cap based on indoor unit SZ'!$J$6:$J$21,MATCH(AE147,'Cap based on indoor unit SZ'!$I$6:$I$21))</f>
        <v>10.463111111111111</v>
      </c>
      <c r="AS147" s="170">
        <f ca="1">INDEX('Cap based on indoor unit SZ'!$J$6:$J$21,MATCH(AF147,'Cap based on indoor unit SZ'!$I$6:$I$21))</f>
        <v>13.078888888888891</v>
      </c>
      <c r="AT147" s="170">
        <f ca="1">INDEX('Cap based on indoor unit SZ'!$J$6:$J$21,MATCH(AG147,'Cap based on indoor unit SZ'!$I$6:$I$21))</f>
        <v>13.078888888888891</v>
      </c>
      <c r="AU147" s="170">
        <f ca="1">INDEX('Cap based on indoor unit SZ'!$J$6:$J$21,MATCH(AH147,'Cap based on indoor unit SZ'!$I$6:$I$21))</f>
        <v>13.078888888888891</v>
      </c>
      <c r="AV147" s="170">
        <f ca="1">INDEX('Cap based on indoor unit SZ'!$J$6:$J$21,MATCH(AI147,'Cap based on indoor unit SZ'!$I$6:$I$21))</f>
        <v>19.821111111111112</v>
      </c>
      <c r="AW147" s="242">
        <f t="shared" si="108"/>
        <v>52.5</v>
      </c>
      <c r="AX147" s="170">
        <v>7.5</v>
      </c>
      <c r="AY147" s="170">
        <v>10</v>
      </c>
      <c r="AZ147" s="170">
        <v>10</v>
      </c>
      <c r="BA147" s="170">
        <v>10</v>
      </c>
      <c r="BB147" s="170">
        <v>15</v>
      </c>
      <c r="BC147" s="243">
        <f t="shared" ca="1" si="146"/>
        <v>48.49</v>
      </c>
      <c r="BD147" s="173">
        <f t="shared" ca="1" si="155"/>
        <v>6.927142857142857</v>
      </c>
      <c r="BE147" s="173">
        <f t="shared" ca="1" si="155"/>
        <v>9.2361904761904761</v>
      </c>
      <c r="BF147" s="173">
        <f t="shared" ca="1" si="155"/>
        <v>9.2361904761904761</v>
      </c>
      <c r="BG147" s="173">
        <f t="shared" ca="1" si="155"/>
        <v>9.2361904761904761</v>
      </c>
      <c r="BH147" s="173">
        <f t="shared" ca="1" si="155"/>
        <v>13.854285714285714</v>
      </c>
      <c r="BI147" s="241">
        <f t="shared" ca="1" si="112"/>
        <v>54.937094017094019</v>
      </c>
      <c r="BJ147" s="167">
        <f t="shared" ca="1" si="156"/>
        <v>7.8481562881562885</v>
      </c>
      <c r="BK147" s="167">
        <f t="shared" ca="1" si="157"/>
        <v>10.464208384208384</v>
      </c>
      <c r="BL147" s="167">
        <f t="shared" ca="1" si="158"/>
        <v>10.464208384208384</v>
      </c>
      <c r="BM147" s="167">
        <f t="shared" ca="1" si="159"/>
        <v>10.464208384208384</v>
      </c>
      <c r="BN147" s="167">
        <f t="shared" ca="1" si="160"/>
        <v>15.696312576312577</v>
      </c>
      <c r="BO147" s="242">
        <f t="shared" ca="1" si="147"/>
        <v>81.389917948717937</v>
      </c>
      <c r="BP147" s="170">
        <f ca="1">INDEX('Cap based on indoor unit SZ'!$V$43:$V$58,MATCH(AE147,'Cap based on indoor unit SZ'!$U$43:$U$58))</f>
        <v>11.956020512820512</v>
      </c>
      <c r="BQ147" s="170">
        <f ca="1">INDEX('Cap based on indoor unit SZ'!$V$43:$V$58,MATCH(AF147,'Cap based on indoor unit SZ'!$U$43:$U$58))</f>
        <v>14.945025641025641</v>
      </c>
      <c r="BR147" s="170">
        <f ca="1">INDEX('Cap based on indoor unit SZ'!$V$43:$V$58,MATCH(AG147,'Cap based on indoor unit SZ'!$U$43:$U$58))</f>
        <v>14.945025641025641</v>
      </c>
      <c r="BS147" s="170">
        <f ca="1">INDEX('Cap based on indoor unit SZ'!$V$43:$V$58,MATCH(AH147,'Cap based on indoor unit SZ'!$U$43:$U$58))</f>
        <v>14.945025641025641</v>
      </c>
      <c r="BT147" s="170">
        <f ca="1">INDEX('Cap based on indoor unit SZ'!$V$43:$V$58,MATCH(AI147,'Cap based on indoor unit SZ'!$U$43:$U$58))</f>
        <v>24.598820512820513</v>
      </c>
      <c r="BU147" s="175">
        <v>8000</v>
      </c>
      <c r="BV147" s="175">
        <v>10500</v>
      </c>
      <c r="BW147" s="175">
        <v>10500</v>
      </c>
      <c r="BX147" s="175">
        <v>10500</v>
      </c>
      <c r="BY147" s="175">
        <v>15500</v>
      </c>
      <c r="BZ147" s="243">
        <f t="shared" ca="1" si="116"/>
        <v>54.937094017094019</v>
      </c>
      <c r="CA147" s="173">
        <f t="shared" ca="1" si="161"/>
        <v>7.8481562881562885</v>
      </c>
      <c r="CB147" s="173">
        <f t="shared" ca="1" si="162"/>
        <v>10.464208384208384</v>
      </c>
      <c r="CC147" s="173">
        <f t="shared" ca="1" si="163"/>
        <v>10.464208384208384</v>
      </c>
      <c r="CD147" s="173">
        <f t="shared" ca="1" si="164"/>
        <v>10.464208384208384</v>
      </c>
      <c r="CE147" s="173">
        <f t="shared" ca="1" si="165"/>
        <v>15.696312576312577</v>
      </c>
      <c r="CF147" s="241">
        <f t="shared" ca="1" si="148"/>
        <v>38.280564556237763</v>
      </c>
      <c r="CG147" s="167">
        <f t="shared" ca="1" si="149"/>
        <v>5.4686520794625384</v>
      </c>
      <c r="CH147" s="167">
        <f t="shared" ca="1" si="149"/>
        <v>7.2915361059500512</v>
      </c>
      <c r="CI147" s="167">
        <f t="shared" ca="1" si="149"/>
        <v>7.2915361059500512</v>
      </c>
      <c r="CJ147" s="167">
        <f t="shared" ca="1" si="149"/>
        <v>7.2915361059500512</v>
      </c>
      <c r="CK147" s="167">
        <f t="shared" ca="1" si="149"/>
        <v>10.937304158925077</v>
      </c>
    </row>
    <row r="148" spans="2:89">
      <c r="B148" s="283">
        <v>30</v>
      </c>
      <c r="C148" s="285">
        <v>69</v>
      </c>
      <c r="D148" s="286"/>
      <c r="E148" s="8" t="s">
        <v>17</v>
      </c>
      <c r="F148" s="9">
        <v>3.5350000000000001</v>
      </c>
      <c r="G148" s="2">
        <v>3.605</v>
      </c>
      <c r="H148" s="2">
        <v>3.665</v>
      </c>
      <c r="I148" s="2">
        <v>3.79</v>
      </c>
      <c r="J148" s="2">
        <v>3.9449999999999998</v>
      </c>
      <c r="K148" s="2">
        <v>3.88</v>
      </c>
      <c r="L148" s="2">
        <v>3.9299999999999997</v>
      </c>
      <c r="M148" s="2">
        <v>4.07</v>
      </c>
      <c r="N148" s="2">
        <v>3.165</v>
      </c>
      <c r="O148" s="2">
        <v>3.2050000000000001</v>
      </c>
      <c r="P148" s="2">
        <v>3.2349999999999999</v>
      </c>
      <c r="Q148" s="2">
        <v>3.3250000000000002</v>
      </c>
      <c r="R148" s="3"/>
      <c r="AC148" s="164" t="s">
        <v>133</v>
      </c>
      <c r="AD148" s="164">
        <v>48</v>
      </c>
      <c r="AE148" s="165">
        <v>12</v>
      </c>
      <c r="AF148" s="165">
        <v>12</v>
      </c>
      <c r="AG148" s="165">
        <v>12</v>
      </c>
      <c r="AH148" s="165">
        <v>12</v>
      </c>
      <c r="AI148" s="165">
        <v>12</v>
      </c>
      <c r="AJ148" s="501"/>
      <c r="AK148" s="241">
        <f t="shared" ca="1" si="104"/>
        <v>48.49</v>
      </c>
      <c r="AL148" s="167">
        <f t="shared" ca="1" si="150"/>
        <v>9.6980000000000004</v>
      </c>
      <c r="AM148" s="167">
        <f t="shared" ca="1" si="151"/>
        <v>9.6980000000000004</v>
      </c>
      <c r="AN148" s="167">
        <f t="shared" ca="1" si="152"/>
        <v>9.6980000000000004</v>
      </c>
      <c r="AO148" s="167">
        <f t="shared" ca="1" si="153"/>
        <v>9.6980000000000004</v>
      </c>
      <c r="AP148" s="167">
        <f t="shared" ca="1" si="154"/>
        <v>9.6980000000000004</v>
      </c>
      <c r="AQ148" s="242">
        <f t="shared" ca="1" si="145"/>
        <v>65.394444444444446</v>
      </c>
      <c r="AR148" s="170">
        <f ca="1">INDEX('Cap based on indoor unit SZ'!$J$6:$J$21,MATCH(AE148,'Cap based on indoor unit SZ'!$I$6:$I$21))</f>
        <v>13.078888888888891</v>
      </c>
      <c r="AS148" s="170">
        <f ca="1">INDEX('Cap based on indoor unit SZ'!$J$6:$J$21,MATCH(AF148,'Cap based on indoor unit SZ'!$I$6:$I$21))</f>
        <v>13.078888888888891</v>
      </c>
      <c r="AT148" s="170">
        <f ca="1">INDEX('Cap based on indoor unit SZ'!$J$6:$J$21,MATCH(AG148,'Cap based on indoor unit SZ'!$I$6:$I$21))</f>
        <v>13.078888888888891</v>
      </c>
      <c r="AU148" s="170">
        <f ca="1">INDEX('Cap based on indoor unit SZ'!$J$6:$J$21,MATCH(AH148,'Cap based on indoor unit SZ'!$I$6:$I$21))</f>
        <v>13.078888888888891</v>
      </c>
      <c r="AV148" s="170">
        <f ca="1">INDEX('Cap based on indoor unit SZ'!$J$6:$J$21,MATCH(AI148,'Cap based on indoor unit SZ'!$I$6:$I$21))</f>
        <v>13.078888888888891</v>
      </c>
      <c r="AW148" s="242">
        <f t="shared" si="108"/>
        <v>52.5</v>
      </c>
      <c r="AX148" s="170">
        <v>10.5</v>
      </c>
      <c r="AY148" s="170">
        <v>10.5</v>
      </c>
      <c r="AZ148" s="170">
        <v>10.5</v>
      </c>
      <c r="BA148" s="170">
        <v>10.5</v>
      </c>
      <c r="BB148" s="170">
        <v>10.5</v>
      </c>
      <c r="BC148" s="243">
        <f t="shared" ca="1" si="146"/>
        <v>48.49</v>
      </c>
      <c r="BD148" s="173">
        <f t="shared" ca="1" si="155"/>
        <v>9.6980000000000004</v>
      </c>
      <c r="BE148" s="173">
        <f t="shared" ca="1" si="155"/>
        <v>9.6980000000000004</v>
      </c>
      <c r="BF148" s="173">
        <f t="shared" ca="1" si="155"/>
        <v>9.6980000000000004</v>
      </c>
      <c r="BG148" s="173">
        <f t="shared" ca="1" si="155"/>
        <v>9.6980000000000004</v>
      </c>
      <c r="BH148" s="173">
        <f t="shared" ca="1" si="155"/>
        <v>9.6980000000000004</v>
      </c>
      <c r="BI148" s="241">
        <f t="shared" ca="1" si="112"/>
        <v>54.937094017094012</v>
      </c>
      <c r="BJ148" s="167">
        <f t="shared" ca="1" si="156"/>
        <v>10.987418803418802</v>
      </c>
      <c r="BK148" s="167">
        <f t="shared" ca="1" si="157"/>
        <v>10.987418803418802</v>
      </c>
      <c r="BL148" s="167">
        <f t="shared" ca="1" si="158"/>
        <v>10.987418803418802</v>
      </c>
      <c r="BM148" s="167">
        <f t="shared" ca="1" si="159"/>
        <v>10.987418803418802</v>
      </c>
      <c r="BN148" s="167">
        <f t="shared" ca="1" si="160"/>
        <v>10.987418803418802</v>
      </c>
      <c r="BO148" s="242">
        <f t="shared" ca="1" si="147"/>
        <v>74.7251282051282</v>
      </c>
      <c r="BP148" s="170">
        <f ca="1">INDEX('Cap based on indoor unit SZ'!$V$43:$V$58,MATCH(AE148,'Cap based on indoor unit SZ'!$U$43:$U$58))</f>
        <v>14.945025641025641</v>
      </c>
      <c r="BQ148" s="170">
        <f ca="1">INDEX('Cap based on indoor unit SZ'!$V$43:$V$58,MATCH(AF148,'Cap based on indoor unit SZ'!$U$43:$U$58))</f>
        <v>14.945025641025641</v>
      </c>
      <c r="BR148" s="170">
        <f ca="1">INDEX('Cap based on indoor unit SZ'!$V$43:$V$58,MATCH(AG148,'Cap based on indoor unit SZ'!$U$43:$U$58))</f>
        <v>14.945025641025641</v>
      </c>
      <c r="BS148" s="170">
        <f ca="1">INDEX('Cap based on indoor unit SZ'!$V$43:$V$58,MATCH(AH148,'Cap based on indoor unit SZ'!$U$43:$U$58))</f>
        <v>14.945025641025641</v>
      </c>
      <c r="BT148" s="170">
        <f ca="1">INDEX('Cap based on indoor unit SZ'!$V$43:$V$58,MATCH(AI148,'Cap based on indoor unit SZ'!$U$43:$U$58))</f>
        <v>14.945025641025641</v>
      </c>
      <c r="BU148" s="175">
        <v>11000</v>
      </c>
      <c r="BV148" s="175">
        <v>11000</v>
      </c>
      <c r="BW148" s="175">
        <v>11000</v>
      </c>
      <c r="BX148" s="175">
        <v>11000</v>
      </c>
      <c r="BY148" s="175">
        <v>11000</v>
      </c>
      <c r="BZ148" s="243">
        <f t="shared" ca="1" si="116"/>
        <v>54.937094017094012</v>
      </c>
      <c r="CA148" s="173">
        <f t="shared" ca="1" si="161"/>
        <v>10.987418803418802</v>
      </c>
      <c r="CB148" s="173">
        <f t="shared" ca="1" si="162"/>
        <v>10.987418803418802</v>
      </c>
      <c r="CC148" s="173">
        <f t="shared" ca="1" si="163"/>
        <v>10.987418803418802</v>
      </c>
      <c r="CD148" s="173">
        <f t="shared" ca="1" si="164"/>
        <v>10.987418803418802</v>
      </c>
      <c r="CE148" s="173">
        <f t="shared" ca="1" si="165"/>
        <v>10.987418803418802</v>
      </c>
      <c r="CF148" s="241">
        <f t="shared" ca="1" si="148"/>
        <v>38.280564556237771</v>
      </c>
      <c r="CG148" s="167">
        <f t="shared" ca="1" si="149"/>
        <v>7.6561129112475541</v>
      </c>
      <c r="CH148" s="167">
        <f t="shared" ca="1" si="149"/>
        <v>7.6561129112475541</v>
      </c>
      <c r="CI148" s="167">
        <f t="shared" ca="1" si="149"/>
        <v>7.6561129112475541</v>
      </c>
      <c r="CJ148" s="167">
        <f t="shared" ca="1" si="149"/>
        <v>7.6561129112475541</v>
      </c>
      <c r="CK148" s="167">
        <f t="shared" ca="1" si="149"/>
        <v>7.6561129112475541</v>
      </c>
    </row>
    <row r="149" spans="2:89">
      <c r="B149" s="283">
        <v>30</v>
      </c>
      <c r="C149" s="287">
        <v>71.599999999999994</v>
      </c>
      <c r="D149" s="288"/>
      <c r="E149" s="8" t="s">
        <v>17</v>
      </c>
      <c r="F149" s="9">
        <v>3.665</v>
      </c>
      <c r="G149" s="2">
        <v>3.6349999999999998</v>
      </c>
      <c r="H149" s="2">
        <v>3.8</v>
      </c>
      <c r="I149" s="2">
        <v>3.8200000000000003</v>
      </c>
      <c r="J149" s="2">
        <v>3.84</v>
      </c>
      <c r="K149" s="2">
        <v>3.91</v>
      </c>
      <c r="L149" s="2">
        <v>3.96</v>
      </c>
      <c r="M149" s="2">
        <v>4.0999999999999996</v>
      </c>
      <c r="N149" s="2">
        <v>3.1950000000000003</v>
      </c>
      <c r="O149" s="2">
        <v>3.2349999999999999</v>
      </c>
      <c r="P149" s="2">
        <v>3.2650000000000001</v>
      </c>
      <c r="Q149" s="2">
        <v>3.355</v>
      </c>
      <c r="R149" s="3"/>
    </row>
    <row r="150" spans="2:89">
      <c r="B150" s="283">
        <v>36</v>
      </c>
      <c r="C150" s="289">
        <v>59</v>
      </c>
      <c r="D150" s="290"/>
      <c r="E150" s="8" t="s">
        <v>17</v>
      </c>
      <c r="F150" s="16">
        <v>4.9450000000000003</v>
      </c>
      <c r="G150" s="2">
        <v>5.0599999999999996</v>
      </c>
      <c r="H150" s="2">
        <v>5.21</v>
      </c>
      <c r="I150" s="2">
        <v>5.24</v>
      </c>
      <c r="J150" s="2">
        <v>5.2750000000000004</v>
      </c>
      <c r="K150" s="2">
        <v>5.15</v>
      </c>
      <c r="L150" s="2">
        <v>5.17</v>
      </c>
      <c r="M150" s="2">
        <v>5.25</v>
      </c>
      <c r="N150" s="2">
        <v>4.5949999999999998</v>
      </c>
      <c r="O150" s="2">
        <v>4.7650000000000006</v>
      </c>
      <c r="P150" s="2">
        <v>4.9350000000000005</v>
      </c>
      <c r="Q150" s="2">
        <v>4.5949999999999998</v>
      </c>
      <c r="R150" s="15"/>
    </row>
    <row r="151" spans="2:89">
      <c r="B151" s="283">
        <v>36</v>
      </c>
      <c r="C151" s="285">
        <v>64.400000000000006</v>
      </c>
      <c r="D151" s="286"/>
      <c r="E151" s="8" t="s">
        <v>17</v>
      </c>
      <c r="F151" s="16">
        <v>5.0049999999999999</v>
      </c>
      <c r="G151" s="2">
        <v>5.12</v>
      </c>
      <c r="H151" s="2">
        <v>5.27</v>
      </c>
      <c r="I151" s="2">
        <v>5.3</v>
      </c>
      <c r="J151" s="2">
        <v>5.35</v>
      </c>
      <c r="K151" s="2">
        <v>5.21</v>
      </c>
      <c r="L151" s="2">
        <v>5.23</v>
      </c>
      <c r="M151" s="2">
        <v>5.31</v>
      </c>
      <c r="N151" s="2">
        <v>4.6550000000000002</v>
      </c>
      <c r="O151" s="2">
        <v>4.8250000000000002</v>
      </c>
      <c r="P151" s="2">
        <v>4.9950000000000001</v>
      </c>
      <c r="Q151" s="2">
        <v>4.6550000000000002</v>
      </c>
      <c r="R151" s="3"/>
    </row>
    <row r="152" spans="2:89">
      <c r="B152" s="283">
        <v>36</v>
      </c>
      <c r="C152" s="287">
        <v>69</v>
      </c>
      <c r="D152" s="288"/>
      <c r="E152" s="8" t="s">
        <v>17</v>
      </c>
      <c r="F152" s="16">
        <v>5.08</v>
      </c>
      <c r="G152" s="2">
        <v>5.19</v>
      </c>
      <c r="H152" s="2">
        <v>5.28</v>
      </c>
      <c r="I152" s="2">
        <v>5.31</v>
      </c>
      <c r="J152" s="2">
        <v>5.38</v>
      </c>
      <c r="K152" s="2">
        <v>5.29</v>
      </c>
      <c r="L152" s="2">
        <v>5.31</v>
      </c>
      <c r="M152" s="2">
        <v>5.39</v>
      </c>
      <c r="N152" s="2">
        <v>4.6550000000000002</v>
      </c>
      <c r="O152" s="2">
        <v>4.9950000000000001</v>
      </c>
      <c r="P152" s="2">
        <v>4.6950000000000003</v>
      </c>
      <c r="Q152" s="2">
        <v>4.33</v>
      </c>
      <c r="R152" s="3"/>
    </row>
    <row r="153" spans="2:89">
      <c r="B153" s="283">
        <v>36</v>
      </c>
      <c r="C153" s="289">
        <v>71.599999999999994</v>
      </c>
      <c r="D153" s="290"/>
      <c r="E153" s="8" t="s">
        <v>17</v>
      </c>
      <c r="F153" s="16">
        <v>5.13</v>
      </c>
      <c r="G153" s="2">
        <v>5.24</v>
      </c>
      <c r="H153" s="2">
        <v>5.33</v>
      </c>
      <c r="I153" s="2">
        <v>5.36</v>
      </c>
      <c r="J153" s="2">
        <v>5.38</v>
      </c>
      <c r="K153" s="2">
        <v>5.34</v>
      </c>
      <c r="L153" s="2">
        <v>5.36</v>
      </c>
      <c r="M153" s="2">
        <v>5.44</v>
      </c>
      <c r="N153" s="2">
        <v>4.7050000000000001</v>
      </c>
      <c r="O153" s="2">
        <v>5.05</v>
      </c>
      <c r="P153" s="2">
        <v>4.7450000000000001</v>
      </c>
      <c r="Q153" s="2">
        <v>4.3849999999999998</v>
      </c>
      <c r="R153" s="15"/>
    </row>
    <row r="154" spans="2:89">
      <c r="B154" s="284">
        <v>48</v>
      </c>
      <c r="C154" s="285">
        <v>59</v>
      </c>
      <c r="D154" s="286"/>
      <c r="E154" s="8" t="s">
        <v>17</v>
      </c>
      <c r="F154" s="16">
        <v>4.9950000000000001</v>
      </c>
      <c r="G154" s="2">
        <v>5.1100000000000003</v>
      </c>
      <c r="H154" s="2">
        <v>5.26</v>
      </c>
      <c r="I154" s="2">
        <v>5.29</v>
      </c>
      <c r="J154" s="2">
        <v>5.3450000000000006</v>
      </c>
      <c r="K154" s="2">
        <v>5.2</v>
      </c>
      <c r="L154" s="2">
        <v>5.22</v>
      </c>
      <c r="M154" s="2">
        <v>5.3</v>
      </c>
      <c r="N154" s="2">
        <v>4.6400000000000006</v>
      </c>
      <c r="O154" s="2">
        <v>4.8149999999999995</v>
      </c>
      <c r="P154" s="2">
        <v>4.9849999999999994</v>
      </c>
      <c r="Q154" s="2">
        <v>4.6400000000000006</v>
      </c>
      <c r="R154" s="3"/>
    </row>
    <row r="155" spans="2:89">
      <c r="B155" s="284">
        <v>48</v>
      </c>
      <c r="C155" s="287">
        <v>64.400000000000006</v>
      </c>
      <c r="D155" s="288"/>
      <c r="E155" s="8" t="s">
        <v>17</v>
      </c>
      <c r="F155" s="16">
        <v>5.1100000000000003</v>
      </c>
      <c r="G155" s="2">
        <v>5.22</v>
      </c>
      <c r="H155" s="2">
        <v>5.37</v>
      </c>
      <c r="I155" s="2">
        <v>5.41</v>
      </c>
      <c r="J155" s="2">
        <v>5.4950000000000001</v>
      </c>
      <c r="K155" s="2">
        <v>5.31</v>
      </c>
      <c r="L155" s="2">
        <v>5.33</v>
      </c>
      <c r="M155" s="2">
        <v>5.42</v>
      </c>
      <c r="N155" s="2">
        <v>4.7450000000000001</v>
      </c>
      <c r="O155" s="2">
        <v>4.9249999999999998</v>
      </c>
      <c r="P155" s="2">
        <v>5.0999999999999996</v>
      </c>
      <c r="Q155" s="2">
        <v>4.7450000000000001</v>
      </c>
      <c r="R155" s="3"/>
    </row>
    <row r="156" spans="2:89">
      <c r="B156" s="284">
        <v>48</v>
      </c>
      <c r="C156" s="289">
        <v>69</v>
      </c>
      <c r="D156" s="290"/>
      <c r="E156" s="8" t="s">
        <v>17</v>
      </c>
      <c r="F156" s="16">
        <v>5.14</v>
      </c>
      <c r="G156" s="2">
        <v>5.25</v>
      </c>
      <c r="H156" s="2">
        <v>5.34</v>
      </c>
      <c r="I156" s="2">
        <v>5.37</v>
      </c>
      <c r="J156" s="2">
        <v>5.4450000000000003</v>
      </c>
      <c r="K156" s="2">
        <v>5.35</v>
      </c>
      <c r="L156" s="2">
        <v>5.37</v>
      </c>
      <c r="M156" s="2">
        <v>5.4550000000000001</v>
      </c>
      <c r="N156" s="2">
        <v>4.7149999999999999</v>
      </c>
      <c r="O156" s="2">
        <v>4.665</v>
      </c>
      <c r="P156" s="2">
        <v>4.7450000000000001</v>
      </c>
      <c r="Q156" s="2">
        <v>5.08</v>
      </c>
      <c r="R156" s="15"/>
    </row>
    <row r="157" spans="2:89">
      <c r="B157" s="284">
        <v>48</v>
      </c>
      <c r="C157" s="285">
        <v>71.599999999999994</v>
      </c>
      <c r="D157" s="286"/>
      <c r="E157" s="8" t="s">
        <v>17</v>
      </c>
      <c r="F157" s="16">
        <v>5.19</v>
      </c>
      <c r="G157" s="2">
        <v>5.3</v>
      </c>
      <c r="H157" s="2">
        <v>5.39</v>
      </c>
      <c r="I157" s="2">
        <v>5.42</v>
      </c>
      <c r="J157" s="2">
        <v>5.46</v>
      </c>
      <c r="K157" s="2">
        <v>5.4</v>
      </c>
      <c r="L157" s="2">
        <v>5.42</v>
      </c>
      <c r="M157" s="2">
        <v>5.5049999999999999</v>
      </c>
      <c r="N157" s="2">
        <v>4.7650000000000006</v>
      </c>
      <c r="O157" s="2">
        <v>5.1100000000000003</v>
      </c>
      <c r="P157" s="2">
        <v>4.7949999999999999</v>
      </c>
      <c r="Q157" s="2">
        <v>5.13</v>
      </c>
      <c r="R157" s="3"/>
    </row>
    <row r="158" spans="2:89">
      <c r="B158" s="284">
        <v>18</v>
      </c>
      <c r="C158" s="287">
        <v>59</v>
      </c>
      <c r="D158" s="288"/>
      <c r="E158" s="8" t="s">
        <v>26</v>
      </c>
      <c r="F158" s="9">
        <v>1.3250000000000002</v>
      </c>
      <c r="G158" s="14">
        <v>1.605</v>
      </c>
      <c r="H158" s="14">
        <v>1.87</v>
      </c>
      <c r="I158" s="14">
        <v>2.0249999999999999</v>
      </c>
      <c r="J158" s="14">
        <v>2.1850000000000001</v>
      </c>
      <c r="K158" s="14">
        <v>2.7850000000000001</v>
      </c>
      <c r="L158" s="14">
        <v>2.7949999999999999</v>
      </c>
      <c r="M158" s="14">
        <v>2.84</v>
      </c>
      <c r="N158" s="14">
        <v>3.53</v>
      </c>
      <c r="O158" s="14">
        <v>3.5549999999999997</v>
      </c>
      <c r="P158" s="14">
        <v>3.8250000000000002</v>
      </c>
      <c r="Q158" s="14">
        <v>4.12</v>
      </c>
      <c r="R158" s="3"/>
    </row>
    <row r="159" spans="2:89">
      <c r="B159" s="284">
        <v>18</v>
      </c>
      <c r="C159" s="289">
        <v>64.400000000000006</v>
      </c>
      <c r="D159" s="290"/>
      <c r="E159" s="8" t="s">
        <v>26</v>
      </c>
      <c r="F159" s="9">
        <v>1.2749999999999999</v>
      </c>
      <c r="G159" s="14">
        <v>1.55</v>
      </c>
      <c r="H159" s="14">
        <v>1.81</v>
      </c>
      <c r="I159" s="14">
        <v>1.9649999999999999</v>
      </c>
      <c r="J159" s="14">
        <v>2.1349999999999998</v>
      </c>
      <c r="K159" s="14">
        <v>2.7</v>
      </c>
      <c r="L159" s="14">
        <v>2.7149999999999999</v>
      </c>
      <c r="M159" s="14">
        <v>2.7549999999999999</v>
      </c>
      <c r="N159" s="14">
        <v>3.41</v>
      </c>
      <c r="O159" s="14">
        <v>3.4350000000000001</v>
      </c>
      <c r="P159" s="14">
        <v>3.7149999999999999</v>
      </c>
      <c r="Q159" s="14">
        <v>4</v>
      </c>
      <c r="R159" s="15"/>
    </row>
    <row r="160" spans="2:89">
      <c r="B160" s="284">
        <v>18</v>
      </c>
      <c r="C160" s="285">
        <v>69</v>
      </c>
      <c r="D160" s="286"/>
      <c r="E160" s="8" t="s">
        <v>26</v>
      </c>
      <c r="F160" s="9">
        <v>1.1099999999999999</v>
      </c>
      <c r="G160" s="14">
        <v>1.27</v>
      </c>
      <c r="H160" s="14">
        <v>1.44</v>
      </c>
      <c r="I160" s="14">
        <v>1.58</v>
      </c>
      <c r="J160" s="14">
        <v>2.125</v>
      </c>
      <c r="K160" s="14">
        <v>2.52</v>
      </c>
      <c r="L160" s="14">
        <v>2.5449999999999999</v>
      </c>
      <c r="M160" s="14">
        <v>2.7149999999999999</v>
      </c>
      <c r="N160" s="14">
        <v>2.9450000000000003</v>
      </c>
      <c r="O160" s="14">
        <v>2.8899999999999997</v>
      </c>
      <c r="P160" s="14">
        <v>3.3049999999999997</v>
      </c>
      <c r="Q160" s="14">
        <v>3.83</v>
      </c>
      <c r="R160" s="3"/>
    </row>
    <row r="161" spans="2:18">
      <c r="B161" s="284">
        <v>18</v>
      </c>
      <c r="C161" s="287">
        <v>71.599999999999994</v>
      </c>
      <c r="D161" s="288"/>
      <c r="E161" s="8" t="s">
        <v>26</v>
      </c>
      <c r="F161" s="9">
        <v>1.1099999999999999</v>
      </c>
      <c r="G161" s="14">
        <v>1.2250000000000001</v>
      </c>
      <c r="H161" s="14">
        <v>1.3900000000000001</v>
      </c>
      <c r="I161" s="14">
        <v>1.53</v>
      </c>
      <c r="J161" s="14">
        <v>1.9649999999999999</v>
      </c>
      <c r="K161" s="14">
        <v>2.4349999999999996</v>
      </c>
      <c r="L161" s="14">
        <v>2.4649999999999999</v>
      </c>
      <c r="M161" s="14">
        <v>2.6349999999999998</v>
      </c>
      <c r="N161" s="14">
        <v>2.8600000000000003</v>
      </c>
      <c r="O161" s="14">
        <v>2.81</v>
      </c>
      <c r="P161" s="14">
        <v>3.21</v>
      </c>
      <c r="Q161" s="9">
        <v>3.7149999999999999</v>
      </c>
      <c r="R161" s="3"/>
    </row>
    <row r="162" spans="2:18">
      <c r="B162" s="283">
        <v>24</v>
      </c>
      <c r="C162" s="289">
        <v>59</v>
      </c>
      <c r="D162" s="290"/>
      <c r="E162" s="8" t="s">
        <v>26</v>
      </c>
      <c r="F162" s="9">
        <v>1.395</v>
      </c>
      <c r="G162" s="14">
        <v>1.625</v>
      </c>
      <c r="H162" s="14">
        <v>1.8149999999999999</v>
      </c>
      <c r="I162" s="14">
        <v>1.9049999999999998</v>
      </c>
      <c r="J162" s="14">
        <v>1.9550000000000001</v>
      </c>
      <c r="K162" s="14">
        <v>2.79</v>
      </c>
      <c r="L162" s="14">
        <v>2.7</v>
      </c>
      <c r="M162" s="14">
        <v>2.85</v>
      </c>
      <c r="N162" s="14">
        <v>3.3200000000000003</v>
      </c>
      <c r="O162" s="14">
        <v>3.355</v>
      </c>
      <c r="P162" s="14">
        <v>3.605</v>
      </c>
      <c r="Q162" s="14">
        <v>4.3650000000000002</v>
      </c>
      <c r="R162" s="15"/>
    </row>
    <row r="163" spans="2:18">
      <c r="B163" s="283">
        <v>24</v>
      </c>
      <c r="C163" s="285">
        <v>64.400000000000006</v>
      </c>
      <c r="D163" s="286"/>
      <c r="E163" s="8" t="s">
        <v>26</v>
      </c>
      <c r="F163" s="9">
        <v>1.3450000000000002</v>
      </c>
      <c r="G163" s="14">
        <v>1.57</v>
      </c>
      <c r="H163" s="14">
        <v>1.7450000000000001</v>
      </c>
      <c r="I163" s="14">
        <v>1.835</v>
      </c>
      <c r="J163" s="14">
        <v>1.885</v>
      </c>
      <c r="K163" s="14">
        <v>2.69</v>
      </c>
      <c r="L163" s="14">
        <v>2.605</v>
      </c>
      <c r="M163" s="14">
        <v>2.75</v>
      </c>
      <c r="N163" s="14">
        <v>3.2050000000000001</v>
      </c>
      <c r="O163" s="14">
        <v>3.19</v>
      </c>
      <c r="P163" s="14">
        <v>3.5150000000000001</v>
      </c>
      <c r="Q163" s="14">
        <v>4.25</v>
      </c>
      <c r="R163" s="3"/>
    </row>
    <row r="164" spans="2:18">
      <c r="B164" s="283">
        <v>24</v>
      </c>
      <c r="C164" s="287">
        <v>69</v>
      </c>
      <c r="D164" s="288"/>
      <c r="E164" s="8" t="s">
        <v>26</v>
      </c>
      <c r="F164" s="9">
        <v>1.3050000000000002</v>
      </c>
      <c r="G164" s="14">
        <v>1.52</v>
      </c>
      <c r="H164" s="14">
        <v>1.6949999999999998</v>
      </c>
      <c r="I164" s="14">
        <v>1.7850000000000001</v>
      </c>
      <c r="J164" s="14">
        <v>1.81</v>
      </c>
      <c r="K164" s="14">
        <v>2.61</v>
      </c>
      <c r="L164" s="14">
        <v>2.5250000000000004</v>
      </c>
      <c r="M164" s="14">
        <v>2.67</v>
      </c>
      <c r="N164" s="14">
        <v>3.1150000000000002</v>
      </c>
      <c r="O164" s="14">
        <v>3.05</v>
      </c>
      <c r="P164" s="14">
        <v>3.4450000000000003</v>
      </c>
      <c r="Q164" s="14">
        <v>3.71</v>
      </c>
      <c r="R164" s="3"/>
    </row>
    <row r="165" spans="2:18">
      <c r="B165" s="283">
        <v>24</v>
      </c>
      <c r="C165" s="289">
        <v>71.599999999999994</v>
      </c>
      <c r="D165" s="290"/>
      <c r="E165" s="8" t="s">
        <v>26</v>
      </c>
      <c r="F165" s="9">
        <v>1.27</v>
      </c>
      <c r="G165" s="14">
        <v>1.48</v>
      </c>
      <c r="H165" s="14">
        <v>1.65</v>
      </c>
      <c r="I165" s="14">
        <v>1.7349999999999999</v>
      </c>
      <c r="J165" s="14">
        <v>1.78</v>
      </c>
      <c r="K165" s="14">
        <v>2.5350000000000001</v>
      </c>
      <c r="L165" s="14">
        <v>2.4550000000000001</v>
      </c>
      <c r="M165" s="14">
        <v>2.5949999999999998</v>
      </c>
      <c r="N165" s="14">
        <v>3.0300000000000002</v>
      </c>
      <c r="O165" s="14">
        <v>2.96</v>
      </c>
      <c r="P165" s="14">
        <v>3.3600000000000003</v>
      </c>
      <c r="Q165" s="14">
        <v>3.62</v>
      </c>
      <c r="R165" s="15"/>
    </row>
    <row r="166" spans="2:18">
      <c r="B166" s="283">
        <v>30</v>
      </c>
      <c r="C166" s="285">
        <v>59</v>
      </c>
      <c r="D166" s="286"/>
      <c r="E166" s="8" t="s">
        <v>26</v>
      </c>
      <c r="F166" s="9">
        <v>1.59</v>
      </c>
      <c r="G166" s="14">
        <v>1.885</v>
      </c>
      <c r="H166" s="14">
        <v>2.0549999999999997</v>
      </c>
      <c r="I166" s="14">
        <v>2.1399999999999997</v>
      </c>
      <c r="J166" s="14">
        <v>2.2599999999999998</v>
      </c>
      <c r="K166" s="14">
        <v>2.4749999999999996</v>
      </c>
      <c r="L166" s="14">
        <v>2.4850000000000003</v>
      </c>
      <c r="M166" s="14">
        <v>2.5549999999999997</v>
      </c>
      <c r="N166" s="14">
        <v>3.2949999999999999</v>
      </c>
      <c r="O166" s="14">
        <v>3.4350000000000001</v>
      </c>
      <c r="P166" s="14">
        <v>3.4000000000000004</v>
      </c>
      <c r="Q166" s="14">
        <v>3.59</v>
      </c>
      <c r="R166" s="3"/>
    </row>
    <row r="167" spans="2:18">
      <c r="B167" s="283">
        <v>30</v>
      </c>
      <c r="C167" s="287">
        <v>64.400000000000006</v>
      </c>
      <c r="D167" s="288"/>
      <c r="E167" s="8" t="s">
        <v>26</v>
      </c>
      <c r="F167" s="9">
        <v>1.56</v>
      </c>
      <c r="G167" s="14">
        <v>1.8450000000000002</v>
      </c>
      <c r="H167" s="14">
        <v>1.98</v>
      </c>
      <c r="I167" s="14">
        <v>2.04</v>
      </c>
      <c r="J167" s="14">
        <v>2.1500000000000004</v>
      </c>
      <c r="K167" s="14">
        <v>2.3600000000000003</v>
      </c>
      <c r="L167" s="14">
        <v>2.3650000000000002</v>
      </c>
      <c r="M167" s="14">
        <v>2.4350000000000001</v>
      </c>
      <c r="N167" s="14">
        <v>3.2199999999999998</v>
      </c>
      <c r="O167" s="14">
        <v>3.355</v>
      </c>
      <c r="P167" s="14">
        <v>3.3200000000000003</v>
      </c>
      <c r="Q167" s="14">
        <v>3.51</v>
      </c>
      <c r="R167" s="3"/>
    </row>
    <row r="168" spans="2:18">
      <c r="B168" s="283">
        <v>30</v>
      </c>
      <c r="C168" s="289">
        <v>69</v>
      </c>
      <c r="D168" s="290"/>
      <c r="E168" s="8" t="s">
        <v>26</v>
      </c>
      <c r="F168" s="9">
        <v>1.375</v>
      </c>
      <c r="G168" s="14">
        <v>1.665</v>
      </c>
      <c r="H168" s="14">
        <v>1.7549999999999999</v>
      </c>
      <c r="I168" s="14">
        <v>1.8450000000000002</v>
      </c>
      <c r="J168" s="14">
        <v>2.0099999999999998</v>
      </c>
      <c r="K168" s="14">
        <v>2.08</v>
      </c>
      <c r="L168" s="14">
        <v>2.085</v>
      </c>
      <c r="M168" s="14">
        <v>2.2800000000000002</v>
      </c>
      <c r="N168" s="14">
        <v>3.125</v>
      </c>
      <c r="O168" s="14">
        <v>3.2850000000000001</v>
      </c>
      <c r="P168" s="14">
        <v>3.355</v>
      </c>
      <c r="Q168" s="14">
        <v>3.5300000000000002</v>
      </c>
      <c r="R168" s="15"/>
    </row>
    <row r="169" spans="2:18">
      <c r="B169" s="283">
        <v>30</v>
      </c>
      <c r="C169" s="285">
        <v>71.599999999999994</v>
      </c>
      <c r="D169" s="286"/>
      <c r="E169" s="8" t="s">
        <v>26</v>
      </c>
      <c r="F169" s="9">
        <v>1.2349999999999999</v>
      </c>
      <c r="G169" s="14">
        <v>1.5550000000000002</v>
      </c>
      <c r="H169" s="14">
        <v>1.67</v>
      </c>
      <c r="I169" s="14">
        <v>1.8149999999999999</v>
      </c>
      <c r="J169" s="14">
        <v>1.9750000000000001</v>
      </c>
      <c r="K169" s="14">
        <v>2.0300000000000002</v>
      </c>
      <c r="L169" s="14">
        <v>2.04</v>
      </c>
      <c r="M169" s="14">
        <v>2.23</v>
      </c>
      <c r="N169" s="14">
        <v>3.05</v>
      </c>
      <c r="O169" s="14">
        <v>3.2</v>
      </c>
      <c r="P169" s="14">
        <v>3.2749999999999999</v>
      </c>
      <c r="Q169" s="14">
        <v>3.4450000000000003</v>
      </c>
      <c r="R169" s="3"/>
    </row>
    <row r="170" spans="2:18">
      <c r="B170" s="283">
        <v>36</v>
      </c>
      <c r="C170" s="287">
        <v>59</v>
      </c>
      <c r="D170" s="288"/>
      <c r="E170" s="8" t="s">
        <v>26</v>
      </c>
      <c r="F170" s="16">
        <v>1.3900000000000001</v>
      </c>
      <c r="G170" s="14">
        <v>1.635</v>
      </c>
      <c r="H170" s="14">
        <v>1.7</v>
      </c>
      <c r="I170" s="14">
        <v>1.85</v>
      </c>
      <c r="J170" s="14">
        <v>2.0049999999999999</v>
      </c>
      <c r="K170" s="14">
        <v>2.2000000000000002</v>
      </c>
      <c r="L170" s="14">
        <v>2.2249999999999996</v>
      </c>
      <c r="M170" s="14">
        <v>2.2599999999999998</v>
      </c>
      <c r="N170" s="14">
        <v>2.7050000000000001</v>
      </c>
      <c r="O170" s="14">
        <v>2.77</v>
      </c>
      <c r="P170" s="14">
        <v>3.3200000000000003</v>
      </c>
      <c r="Q170" s="14">
        <v>3.9450000000000003</v>
      </c>
      <c r="R170" s="3"/>
    </row>
    <row r="171" spans="2:18">
      <c r="B171" s="283">
        <v>36</v>
      </c>
      <c r="C171" s="289">
        <v>64.400000000000006</v>
      </c>
      <c r="D171" s="290"/>
      <c r="E171" s="8" t="s">
        <v>26</v>
      </c>
      <c r="F171" s="16">
        <v>1.355</v>
      </c>
      <c r="G171" s="14">
        <v>1.595</v>
      </c>
      <c r="H171" s="14">
        <v>1.6600000000000001</v>
      </c>
      <c r="I171" s="14">
        <v>1.8050000000000002</v>
      </c>
      <c r="J171" s="14">
        <v>1.9649999999999999</v>
      </c>
      <c r="K171" s="14">
        <v>2.1399999999999997</v>
      </c>
      <c r="L171" s="14">
        <v>2.17</v>
      </c>
      <c r="M171" s="14">
        <v>2.2000000000000002</v>
      </c>
      <c r="N171" s="14">
        <v>2.6349999999999998</v>
      </c>
      <c r="O171" s="14">
        <v>2.6949999999999998</v>
      </c>
      <c r="P171" s="14">
        <v>3.2350000000000003</v>
      </c>
      <c r="Q171" s="14">
        <v>3.835</v>
      </c>
      <c r="R171" s="15"/>
    </row>
    <row r="172" spans="2:18">
      <c r="B172" s="283">
        <v>36</v>
      </c>
      <c r="C172" s="285">
        <v>69</v>
      </c>
      <c r="D172" s="286"/>
      <c r="E172" s="8" t="s">
        <v>26</v>
      </c>
      <c r="F172" s="16">
        <v>1.31</v>
      </c>
      <c r="G172" s="14">
        <v>1.54</v>
      </c>
      <c r="H172" s="14">
        <v>1.585</v>
      </c>
      <c r="I172" s="14">
        <v>1.7250000000000001</v>
      </c>
      <c r="J172" s="14">
        <v>1.94</v>
      </c>
      <c r="K172" s="14">
        <v>2.04</v>
      </c>
      <c r="L172" s="14">
        <v>2.0499999999999998</v>
      </c>
      <c r="M172" s="14">
        <v>2.13</v>
      </c>
      <c r="N172" s="14">
        <v>2.625</v>
      </c>
      <c r="O172" s="14">
        <v>2.68</v>
      </c>
      <c r="P172" s="14">
        <v>3.105</v>
      </c>
      <c r="Q172" s="14">
        <v>3.62</v>
      </c>
      <c r="R172" s="3"/>
    </row>
    <row r="173" spans="2:18">
      <c r="B173" s="283">
        <v>36</v>
      </c>
      <c r="C173" s="287">
        <v>71.599999999999994</v>
      </c>
      <c r="D173" s="288"/>
      <c r="E173" s="8" t="s">
        <v>26</v>
      </c>
      <c r="F173" s="16">
        <v>1.27</v>
      </c>
      <c r="G173" s="14">
        <v>1.4950000000000001</v>
      </c>
      <c r="H173" s="14">
        <v>1.5449999999999999</v>
      </c>
      <c r="I173" s="14">
        <v>1.68</v>
      </c>
      <c r="J173" s="14">
        <v>1.885</v>
      </c>
      <c r="K173" s="14">
        <v>1.98</v>
      </c>
      <c r="L173" s="14">
        <v>1.99</v>
      </c>
      <c r="M173" s="14">
        <v>2.0649999999999999</v>
      </c>
      <c r="N173" s="14">
        <v>2.5499999999999998</v>
      </c>
      <c r="O173" s="14">
        <v>2.6</v>
      </c>
      <c r="P173" s="14">
        <v>3.01</v>
      </c>
      <c r="Q173" s="14">
        <v>3.5049999999999999</v>
      </c>
      <c r="R173" s="3"/>
    </row>
    <row r="174" spans="2:18">
      <c r="B174" s="284">
        <v>48</v>
      </c>
      <c r="C174" s="289">
        <v>59</v>
      </c>
      <c r="D174" s="290"/>
      <c r="E174" s="8" t="s">
        <v>26</v>
      </c>
      <c r="F174" s="16">
        <v>1.385</v>
      </c>
      <c r="G174" s="14">
        <v>1.63</v>
      </c>
      <c r="H174" s="14">
        <v>1.7</v>
      </c>
      <c r="I174" s="14">
        <v>1.845</v>
      </c>
      <c r="J174" s="14">
        <v>2.0283726443981731</v>
      </c>
      <c r="K174" s="14">
        <v>2.1900000000000004</v>
      </c>
      <c r="L174" s="14">
        <v>2.2199999999999998</v>
      </c>
      <c r="M174" s="14">
        <v>2.2549999999999999</v>
      </c>
      <c r="N174" s="14">
        <v>2.6949999999999998</v>
      </c>
      <c r="O174" s="14">
        <v>2.76</v>
      </c>
      <c r="P174" s="14">
        <v>3.31</v>
      </c>
      <c r="Q174" s="14">
        <v>4.21</v>
      </c>
      <c r="R174" s="15"/>
    </row>
    <row r="175" spans="2:18">
      <c r="B175" s="284">
        <v>48</v>
      </c>
      <c r="C175" s="285">
        <v>64.400000000000006</v>
      </c>
      <c r="D175" s="286"/>
      <c r="E175" s="8" t="s">
        <v>26</v>
      </c>
      <c r="F175" s="16">
        <v>1.34</v>
      </c>
      <c r="G175" s="14">
        <v>1.5750000000000002</v>
      </c>
      <c r="H175" s="14">
        <v>1.6400000000000001</v>
      </c>
      <c r="I175" s="14">
        <v>1.7850000000000001</v>
      </c>
      <c r="J175" s="14">
        <v>1.96</v>
      </c>
      <c r="K175" s="14">
        <v>2.12</v>
      </c>
      <c r="L175" s="14">
        <v>2.1399999999999997</v>
      </c>
      <c r="M175" s="14">
        <v>2.1749999999999998</v>
      </c>
      <c r="N175" s="14">
        <v>2.6</v>
      </c>
      <c r="O175" s="14">
        <v>2.665</v>
      </c>
      <c r="P175" s="14">
        <v>3.1950000000000003</v>
      </c>
      <c r="Q175" s="14">
        <v>4.0500000000000007</v>
      </c>
      <c r="R175" s="3"/>
    </row>
    <row r="176" spans="2:18">
      <c r="B176" s="284">
        <v>48</v>
      </c>
      <c r="C176" s="287">
        <v>69</v>
      </c>
      <c r="D176" s="288"/>
      <c r="E176" s="8" t="s">
        <v>26</v>
      </c>
      <c r="F176" s="16">
        <v>1.31</v>
      </c>
      <c r="G176" s="14">
        <v>1.54</v>
      </c>
      <c r="H176" s="14">
        <v>1.5899999999999999</v>
      </c>
      <c r="I176" s="14">
        <v>1.73</v>
      </c>
      <c r="J176" s="14">
        <v>1.9449999999999998</v>
      </c>
      <c r="K176" s="14">
        <v>2.04</v>
      </c>
      <c r="L176" s="14">
        <v>2.0499999999999998</v>
      </c>
      <c r="M176" s="14">
        <v>2.13</v>
      </c>
      <c r="N176" s="14">
        <v>2.63</v>
      </c>
      <c r="O176" s="14">
        <v>2.91</v>
      </c>
      <c r="P176" s="14">
        <v>3.39</v>
      </c>
      <c r="Q176" s="14">
        <v>3.7349999999999999</v>
      </c>
      <c r="R176" s="3"/>
    </row>
    <row r="177" spans="1:89">
      <c r="B177" s="284">
        <v>48</v>
      </c>
      <c r="C177" s="289">
        <v>71.599999999999994</v>
      </c>
      <c r="D177" s="290"/>
      <c r="E177" s="8" t="s">
        <v>26</v>
      </c>
      <c r="F177" s="16">
        <v>1.27</v>
      </c>
      <c r="G177" s="14">
        <v>1.4950000000000001</v>
      </c>
      <c r="H177" s="14">
        <v>1.5449999999999999</v>
      </c>
      <c r="I177" s="14">
        <v>1.68</v>
      </c>
      <c r="J177" s="14">
        <v>1.8815480741458113</v>
      </c>
      <c r="K177" s="14">
        <v>1.98</v>
      </c>
      <c r="L177" s="14">
        <v>1.99</v>
      </c>
      <c r="M177" s="14">
        <v>2.0599999999999996</v>
      </c>
      <c r="N177" s="14">
        <v>2.54</v>
      </c>
      <c r="O177" s="14">
        <v>2.6</v>
      </c>
      <c r="P177" s="14">
        <v>3.29</v>
      </c>
      <c r="Q177" s="14">
        <v>3.625</v>
      </c>
      <c r="R177" s="15"/>
    </row>
    <row r="178" spans="1:89">
      <c r="B178" s="10" t="s">
        <v>18</v>
      </c>
      <c r="E178" s="17"/>
      <c r="F178" s="18"/>
      <c r="G178" s="18"/>
      <c r="H178" s="18"/>
      <c r="I178" s="18"/>
      <c r="J178" s="18"/>
      <c r="K178" s="18"/>
      <c r="L178" s="18"/>
      <c r="M178" s="18"/>
      <c r="N178" s="18"/>
    </row>
    <row r="179" spans="1:89">
      <c r="B179" s="10" t="s">
        <v>19</v>
      </c>
      <c r="E179" s="17"/>
      <c r="F179" s="18"/>
      <c r="G179" s="18"/>
      <c r="H179" s="18"/>
      <c r="I179" s="18"/>
      <c r="J179" s="18"/>
      <c r="K179" s="18"/>
      <c r="L179" s="18"/>
      <c r="M179" s="18"/>
      <c r="N179" s="18"/>
    </row>
    <row r="180" spans="1:89">
      <c r="B180" s="10" t="s">
        <v>20</v>
      </c>
      <c r="E180" s="17"/>
      <c r="F180" s="18"/>
      <c r="G180" s="18"/>
      <c r="H180" s="18"/>
      <c r="I180" s="18"/>
      <c r="J180" s="18"/>
      <c r="K180" s="18"/>
      <c r="L180" s="18"/>
      <c r="M180" s="18"/>
      <c r="N180" s="18"/>
    </row>
    <row r="181" spans="1:89">
      <c r="B181" s="10" t="s">
        <v>21</v>
      </c>
      <c r="E181" s="17"/>
      <c r="F181" s="18"/>
      <c r="G181" s="18"/>
      <c r="H181" s="18"/>
      <c r="I181" s="18"/>
      <c r="J181" s="18"/>
      <c r="K181" s="18"/>
      <c r="L181" s="18"/>
      <c r="M181" s="18"/>
      <c r="N181" s="18"/>
    </row>
    <row r="182" spans="1:89">
      <c r="A182" s="17"/>
      <c r="B182" s="10" t="s">
        <v>23</v>
      </c>
      <c r="E182" s="17"/>
      <c r="F182" s="18"/>
      <c r="G182" s="18"/>
      <c r="H182" s="18"/>
      <c r="I182" s="18"/>
      <c r="J182" s="18"/>
      <c r="K182" s="18"/>
      <c r="L182" s="18"/>
      <c r="M182" s="18"/>
      <c r="N182" s="18"/>
      <c r="O182" s="18"/>
    </row>
    <row r="183" spans="1:89">
      <c r="A183" s="17"/>
      <c r="B183" s="17" t="s">
        <v>27</v>
      </c>
      <c r="C183" s="17"/>
      <c r="D183" s="17"/>
      <c r="E183" s="17"/>
      <c r="F183" s="18"/>
      <c r="G183" s="18"/>
      <c r="H183" s="18"/>
      <c r="I183" s="18"/>
      <c r="J183" s="18"/>
      <c r="K183" s="18"/>
      <c r="L183" s="18"/>
      <c r="M183" s="18"/>
      <c r="N183" s="18"/>
      <c r="O183" s="18"/>
    </row>
    <row r="184" spans="1:89">
      <c r="A184" s="17"/>
      <c r="B184" s="17"/>
      <c r="C184" s="17"/>
      <c r="D184" s="17"/>
      <c r="E184" s="17"/>
      <c r="F184" s="18"/>
      <c r="G184" s="18"/>
      <c r="H184" s="18"/>
      <c r="I184" s="18"/>
      <c r="J184" s="18"/>
      <c r="K184" s="18"/>
      <c r="L184" s="18"/>
      <c r="M184" s="18"/>
      <c r="N184" s="18"/>
      <c r="O184" s="18"/>
    </row>
    <row r="185" spans="1:89" s="6" customFormat="1">
      <c r="A185" s="17"/>
      <c r="B185" s="5"/>
      <c r="C185" s="5"/>
      <c r="D185" s="5"/>
      <c r="E185" s="5"/>
      <c r="O185" s="18"/>
      <c r="R185" s="5"/>
      <c r="AC185" s="153"/>
      <c r="AD185" s="153"/>
      <c r="AE185" s="153"/>
      <c r="AF185" s="153"/>
      <c r="AG185" s="153"/>
      <c r="AH185" s="153"/>
      <c r="AI185" s="153"/>
      <c r="AJ185" s="153"/>
      <c r="AK185" s="154"/>
      <c r="AL185" s="153"/>
      <c r="AM185" s="153"/>
      <c r="AN185" s="153"/>
      <c r="AO185" s="153"/>
      <c r="AP185" s="153"/>
      <c r="AQ185" s="154"/>
      <c r="AR185" s="153"/>
      <c r="AS185" s="153"/>
      <c r="AT185" s="153"/>
      <c r="AU185" s="153"/>
      <c r="AV185" s="153"/>
      <c r="AW185" s="154"/>
      <c r="AX185" s="153"/>
      <c r="AY185" s="153"/>
      <c r="AZ185" s="153"/>
      <c r="BA185" s="153"/>
      <c r="BB185" s="153"/>
      <c r="BC185" s="154"/>
      <c r="BD185" s="153"/>
      <c r="BE185" s="153"/>
      <c r="BF185" s="153"/>
      <c r="BG185" s="153"/>
      <c r="BH185" s="153"/>
      <c r="BI185" s="154"/>
      <c r="BJ185" s="153"/>
      <c r="BK185" s="153"/>
      <c r="BL185" s="153"/>
      <c r="BM185" s="153"/>
      <c r="BN185" s="153"/>
      <c r="BO185" s="154"/>
      <c r="BP185" s="153"/>
      <c r="BQ185" s="153"/>
      <c r="BR185" s="153"/>
      <c r="BS185" s="153"/>
      <c r="BT185" s="153"/>
      <c r="BU185" s="153"/>
      <c r="BV185" s="153"/>
      <c r="BW185" s="153"/>
      <c r="BX185" s="153"/>
      <c r="BY185" s="153"/>
      <c r="BZ185" s="154"/>
      <c r="CA185" s="153"/>
      <c r="CB185" s="153"/>
      <c r="CC185" s="153"/>
      <c r="CD185" s="153"/>
      <c r="CE185" s="153"/>
      <c r="CF185" s="154"/>
      <c r="CG185" s="153"/>
      <c r="CH185" s="153"/>
      <c r="CI185" s="153"/>
      <c r="CJ185" s="153"/>
      <c r="CK185" s="153"/>
    </row>
    <row r="186" spans="1:89" s="6" customFormat="1">
      <c r="A186" s="17"/>
      <c r="B186" s="5"/>
      <c r="C186" s="5"/>
      <c r="D186" s="5"/>
      <c r="E186" s="5"/>
      <c r="O186" s="18"/>
      <c r="R186" s="5"/>
      <c r="AC186" s="153"/>
      <c r="AD186" s="153"/>
      <c r="AE186" s="153"/>
      <c r="AF186" s="153"/>
      <c r="AG186" s="153"/>
      <c r="AH186" s="153"/>
      <c r="AI186" s="153"/>
      <c r="AJ186" s="153"/>
      <c r="AK186" s="154"/>
      <c r="AL186" s="153"/>
      <c r="AM186" s="153"/>
      <c r="AN186" s="153"/>
      <c r="AO186" s="153"/>
      <c r="AP186" s="153"/>
      <c r="AQ186" s="154"/>
      <c r="AR186" s="153"/>
      <c r="AS186" s="153"/>
      <c r="AT186" s="153"/>
      <c r="AU186" s="153"/>
      <c r="AV186" s="153"/>
      <c r="AW186" s="154"/>
      <c r="AX186" s="153"/>
      <c r="AY186" s="153"/>
      <c r="AZ186" s="153"/>
      <c r="BA186" s="153"/>
      <c r="BB186" s="153"/>
      <c r="BC186" s="154"/>
      <c r="BD186" s="153"/>
      <c r="BE186" s="153"/>
      <c r="BF186" s="153"/>
      <c r="BG186" s="153"/>
      <c r="BH186" s="153"/>
      <c r="BI186" s="154"/>
      <c r="BJ186" s="153"/>
      <c r="BK186" s="153"/>
      <c r="BL186" s="153"/>
      <c r="BM186" s="153"/>
      <c r="BN186" s="153"/>
      <c r="BO186" s="154"/>
      <c r="BP186" s="153"/>
      <c r="BQ186" s="153"/>
      <c r="BR186" s="153"/>
      <c r="BS186" s="153"/>
      <c r="BT186" s="153"/>
      <c r="BU186" s="153"/>
      <c r="BV186" s="153"/>
      <c r="BW186" s="153"/>
      <c r="BX186" s="153"/>
      <c r="BY186" s="153"/>
      <c r="BZ186" s="154"/>
      <c r="CA186" s="153"/>
      <c r="CB186" s="153"/>
      <c r="CC186" s="153"/>
      <c r="CD186" s="153"/>
      <c r="CE186" s="153"/>
      <c r="CF186" s="154"/>
      <c r="CG186" s="153"/>
      <c r="CH186" s="153"/>
      <c r="CI186" s="153"/>
      <c r="CJ186" s="153"/>
      <c r="CK186" s="153"/>
    </row>
    <row r="187" spans="1:89" s="6" customFormat="1">
      <c r="A187" s="17"/>
      <c r="B187" s="5"/>
      <c r="C187" s="5"/>
      <c r="D187" s="5"/>
      <c r="E187" s="5"/>
      <c r="O187" s="18"/>
      <c r="R187" s="5"/>
      <c r="AC187" s="153"/>
      <c r="AD187" s="153"/>
      <c r="AE187" s="153"/>
      <c r="AF187" s="153"/>
      <c r="AG187" s="153"/>
      <c r="AH187" s="153"/>
      <c r="AI187" s="153"/>
      <c r="AJ187" s="153"/>
      <c r="AK187" s="154"/>
      <c r="AL187" s="153"/>
      <c r="AM187" s="153"/>
      <c r="AN187" s="153"/>
      <c r="AO187" s="153"/>
      <c r="AP187" s="153"/>
      <c r="AQ187" s="154"/>
      <c r="AR187" s="153"/>
      <c r="AS187" s="153"/>
      <c r="AT187" s="153"/>
      <c r="AU187" s="153"/>
      <c r="AV187" s="153"/>
      <c r="AW187" s="154"/>
      <c r="AX187" s="153"/>
      <c r="AY187" s="153"/>
      <c r="AZ187" s="153"/>
      <c r="BA187" s="153"/>
      <c r="BB187" s="153"/>
      <c r="BC187" s="154"/>
      <c r="BD187" s="153"/>
      <c r="BE187" s="153"/>
      <c r="BF187" s="153"/>
      <c r="BG187" s="153"/>
      <c r="BH187" s="153"/>
      <c r="BI187" s="154"/>
      <c r="BJ187" s="153"/>
      <c r="BK187" s="153"/>
      <c r="BL187" s="153"/>
      <c r="BM187" s="153"/>
      <c r="BN187" s="153"/>
      <c r="BO187" s="154"/>
      <c r="BP187" s="153"/>
      <c r="BQ187" s="153"/>
      <c r="BR187" s="153"/>
      <c r="BS187" s="153"/>
      <c r="BT187" s="153"/>
      <c r="BU187" s="153"/>
      <c r="BV187" s="153"/>
      <c r="BW187" s="153"/>
      <c r="BX187" s="153"/>
      <c r="BY187" s="153"/>
      <c r="BZ187" s="154"/>
      <c r="CA187" s="153"/>
      <c r="CB187" s="153"/>
      <c r="CC187" s="153"/>
      <c r="CD187" s="153"/>
      <c r="CE187" s="153"/>
      <c r="CF187" s="154"/>
      <c r="CG187" s="153"/>
      <c r="CH187" s="153"/>
      <c r="CI187" s="153"/>
      <c r="CJ187" s="153"/>
      <c r="CK187" s="153"/>
    </row>
    <row r="188" spans="1:89" s="6" customFormat="1">
      <c r="A188" s="17"/>
      <c r="B188" s="5"/>
      <c r="C188" s="5"/>
      <c r="D188" s="5"/>
      <c r="E188" s="5"/>
      <c r="O188" s="18"/>
      <c r="R188" s="5"/>
      <c r="AC188" s="153"/>
      <c r="AD188" s="153"/>
      <c r="AE188" s="153"/>
      <c r="AF188" s="153"/>
      <c r="AG188" s="153"/>
      <c r="AH188" s="153"/>
      <c r="AI188" s="153"/>
      <c r="AJ188" s="153"/>
      <c r="AK188" s="154"/>
      <c r="AL188" s="153"/>
      <c r="AM188" s="153"/>
      <c r="AN188" s="153"/>
      <c r="AO188" s="153"/>
      <c r="AP188" s="153"/>
      <c r="AQ188" s="154"/>
      <c r="AR188" s="153"/>
      <c r="AS188" s="153"/>
      <c r="AT188" s="153"/>
      <c r="AU188" s="153"/>
      <c r="AV188" s="153"/>
      <c r="AW188" s="154"/>
      <c r="AX188" s="153"/>
      <c r="AY188" s="153"/>
      <c r="AZ188" s="153"/>
      <c r="BA188" s="153"/>
      <c r="BB188" s="153"/>
      <c r="BC188" s="154"/>
      <c r="BD188" s="153"/>
      <c r="BE188" s="153"/>
      <c r="BF188" s="153"/>
      <c r="BG188" s="153"/>
      <c r="BH188" s="153"/>
      <c r="BI188" s="154"/>
      <c r="BJ188" s="153"/>
      <c r="BK188" s="153"/>
      <c r="BL188" s="153"/>
      <c r="BM188" s="153"/>
      <c r="BN188" s="153"/>
      <c r="BO188" s="154"/>
      <c r="BP188" s="153"/>
      <c r="BQ188" s="153"/>
      <c r="BR188" s="153"/>
      <c r="BS188" s="153"/>
      <c r="BT188" s="153"/>
      <c r="BU188" s="153"/>
      <c r="BV188" s="153"/>
      <c r="BW188" s="153"/>
      <c r="BX188" s="153"/>
      <c r="BY188" s="153"/>
      <c r="BZ188" s="154"/>
      <c r="CA188" s="153"/>
      <c r="CB188" s="153"/>
      <c r="CC188" s="153"/>
      <c r="CD188" s="153"/>
      <c r="CE188" s="153"/>
      <c r="CF188" s="154"/>
      <c r="CG188" s="153"/>
      <c r="CH188" s="153"/>
      <c r="CI188" s="153"/>
      <c r="CJ188" s="153"/>
      <c r="CK188" s="153"/>
    </row>
  </sheetData>
  <sortState ref="B118:Q177">
    <sortCondition descending="1" ref="E118:E177"/>
    <sortCondition ref="B118:B177"/>
    <sortCondition ref="C118:C177"/>
  </sortState>
  <mergeCells count="42">
    <mergeCell ref="AJ20:AJ27"/>
    <mergeCell ref="AJ28:AJ39"/>
    <mergeCell ref="AJ101:AJ118"/>
    <mergeCell ref="AJ119:AJ136"/>
    <mergeCell ref="AJ137:AJ148"/>
    <mergeCell ref="AJ40:AJ46"/>
    <mergeCell ref="AJ48:AJ55"/>
    <mergeCell ref="AJ56:AJ73"/>
    <mergeCell ref="AJ74:AJ91"/>
    <mergeCell ref="AJ93:AJ100"/>
    <mergeCell ref="BO1:BT1"/>
    <mergeCell ref="BU1:BY1"/>
    <mergeCell ref="BZ1:CE1"/>
    <mergeCell ref="CF1:CK1"/>
    <mergeCell ref="AL2:AP2"/>
    <mergeCell ref="AR2:AV2"/>
    <mergeCell ref="AX2:BB2"/>
    <mergeCell ref="BD2:BH2"/>
    <mergeCell ref="BJ2:BN2"/>
    <mergeCell ref="BP2:BT2"/>
    <mergeCell ref="BU2:BY2"/>
    <mergeCell ref="CA2:CE2"/>
    <mergeCell ref="CG2:CK2"/>
    <mergeCell ref="AK1:AP1"/>
    <mergeCell ref="AQ1:AV1"/>
    <mergeCell ref="AW1:BB1"/>
    <mergeCell ref="BC1:BH1"/>
    <mergeCell ref="BI1:BN1"/>
    <mergeCell ref="B115:B117"/>
    <mergeCell ref="C115:E115"/>
    <mergeCell ref="G115:Q115"/>
    <mergeCell ref="C116:D117"/>
    <mergeCell ref="AD1:AI1"/>
    <mergeCell ref="Z2:AA2"/>
    <mergeCell ref="B24:B26"/>
    <mergeCell ref="C24:E24"/>
    <mergeCell ref="F24:Q24"/>
    <mergeCell ref="C25:D25"/>
    <mergeCell ref="E25:E26"/>
    <mergeCell ref="AJ4:AJ6"/>
    <mergeCell ref="AJ8:AJ13"/>
    <mergeCell ref="AJ14:AJ18"/>
  </mergeCells>
  <conditionalFormatting sqref="AD2:AP148 AW2:BN148 BU2:CE148">
    <cfRule type="expression" dxfId="15" priority="8">
      <formula>AD2=""</formula>
    </cfRule>
  </conditionalFormatting>
  <conditionalFormatting sqref="AK4:AK148">
    <cfRule type="cellIs" dxfId="14" priority="9" operator="greaterThan">
      <formula>$BC4</formula>
    </cfRule>
  </conditionalFormatting>
  <conditionalFormatting sqref="BI4:BI148">
    <cfRule type="cellIs" dxfId="13" priority="7" operator="greaterThan">
      <formula>$BZ4</formula>
    </cfRule>
  </conditionalFormatting>
  <conditionalFormatting sqref="CF2:CK148">
    <cfRule type="expression" dxfId="12" priority="5">
      <formula>CF2=""</formula>
    </cfRule>
  </conditionalFormatting>
  <conditionalFormatting sqref="CF4:CF148">
    <cfRule type="cellIs" dxfId="11" priority="6" operator="greaterThan">
      <formula>$BC4</formula>
    </cfRule>
  </conditionalFormatting>
  <conditionalFormatting sqref="AC2:AC148">
    <cfRule type="expression" dxfId="10" priority="4">
      <formula>AC2=""</formula>
    </cfRule>
  </conditionalFormatting>
  <conditionalFormatting sqref="BO2:BT148">
    <cfRule type="expression" dxfId="9" priority="1">
      <formula>BO2=""</formula>
    </cfRule>
  </conditionalFormatting>
  <conditionalFormatting sqref="AQ2:AV148">
    <cfRule type="expression" dxfId="8" priority="2">
      <formula>AQ2=""</formula>
    </cfRule>
  </conditionalFormatting>
  <pageMargins left="0.25" right="0.25" top="0.25" bottom="0.25" header="0.3" footer="0.3"/>
  <pageSetup scale="18" orientation="portrait" horizontalDpi="4294967293" verticalDpi="96"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88"/>
  <sheetViews>
    <sheetView zoomScale="60" zoomScaleNormal="60" workbookViewId="0"/>
  </sheetViews>
  <sheetFormatPr defaultColWidth="10" defaultRowHeight="13.8" outlineLevelCol="1"/>
  <cols>
    <col min="1" max="1" width="5.5546875" style="5" customWidth="1"/>
    <col min="2" max="2" width="27.88671875" style="5" customWidth="1"/>
    <col min="3" max="3" width="7.44140625" style="5" bestFit="1" customWidth="1"/>
    <col min="4" max="4" width="7.44140625" style="5" customWidth="1"/>
    <col min="5" max="5" width="6.109375" style="5" bestFit="1" customWidth="1"/>
    <col min="6" max="6" width="7" style="6" bestFit="1" customWidth="1"/>
    <col min="7" max="8" width="8.33203125" style="6" bestFit="1" customWidth="1"/>
    <col min="9" max="10" width="7.88671875" style="6" bestFit="1" customWidth="1"/>
    <col min="11" max="17" width="7.44140625" style="6" bestFit="1" customWidth="1"/>
    <col min="18" max="19" width="7.44140625" style="5" customWidth="1"/>
    <col min="20" max="20" width="9.109375" style="5" bestFit="1" customWidth="1"/>
    <col min="21" max="21" width="9.109375" style="5" customWidth="1"/>
    <col min="22" max="22" width="42.109375" style="5" bestFit="1" customWidth="1"/>
    <col min="23" max="25" width="9.109375" style="5" customWidth="1"/>
    <col min="26" max="26" width="12.44140625" style="5" bestFit="1" customWidth="1"/>
    <col min="27" max="27" width="13.109375" style="5" bestFit="1" customWidth="1"/>
    <col min="28" max="28" width="14.44140625" style="5" customWidth="1"/>
    <col min="29" max="29" width="16" style="153" bestFit="1" customWidth="1"/>
    <col min="30" max="36" width="10" style="153"/>
    <col min="37" max="37" width="10" style="154"/>
    <col min="38" max="42" width="10" style="153"/>
    <col min="43" max="43" width="10" style="154" hidden="1" customWidth="1" outlineLevel="1"/>
    <col min="44" max="48" width="10" style="153" hidden="1" customWidth="1" outlineLevel="1"/>
    <col min="49" max="49" width="10" style="154" hidden="1" customWidth="1" outlineLevel="1"/>
    <col min="50" max="54" width="10" style="153" hidden="1" customWidth="1" outlineLevel="1"/>
    <col min="55" max="55" width="10" style="154" hidden="1" customWidth="1" outlineLevel="1"/>
    <col min="56" max="60" width="10" style="153" hidden="1" customWidth="1" outlineLevel="1"/>
    <col min="61" max="61" width="10" style="154" collapsed="1"/>
    <col min="62" max="66" width="10" style="153"/>
    <col min="67" max="67" width="10" style="154" hidden="1" customWidth="1" outlineLevel="1"/>
    <col min="68" max="77" width="10" style="153" hidden="1" customWidth="1" outlineLevel="1"/>
    <col min="78" max="78" width="10" style="154" hidden="1" customWidth="1" outlineLevel="1"/>
    <col min="79" max="83" width="10" style="153" hidden="1" customWidth="1" outlineLevel="1"/>
    <col min="84" max="84" width="10" style="154" collapsed="1"/>
    <col min="85" max="89" width="10" style="153"/>
    <col min="90" max="16384" width="10" style="5"/>
  </cols>
  <sheetData>
    <row r="1" spans="1:89">
      <c r="A1" s="4" t="s">
        <v>284</v>
      </c>
      <c r="AD1" s="497" t="s">
        <v>74</v>
      </c>
      <c r="AE1" s="497"/>
      <c r="AF1" s="497"/>
      <c r="AG1" s="497"/>
      <c r="AH1" s="497"/>
      <c r="AI1" s="497"/>
      <c r="AJ1" s="155"/>
      <c r="AK1" s="497" t="s">
        <v>100</v>
      </c>
      <c r="AL1" s="497"/>
      <c r="AM1" s="497"/>
      <c r="AN1" s="497"/>
      <c r="AO1" s="497"/>
      <c r="AP1" s="497"/>
      <c r="AQ1" s="497" t="s">
        <v>103</v>
      </c>
      <c r="AR1" s="497"/>
      <c r="AS1" s="497"/>
      <c r="AT1" s="497"/>
      <c r="AU1" s="497"/>
      <c r="AV1" s="497"/>
      <c r="AW1" s="497" t="s">
        <v>105</v>
      </c>
      <c r="AX1" s="497"/>
      <c r="AY1" s="497"/>
      <c r="AZ1" s="497"/>
      <c r="BA1" s="497"/>
      <c r="BB1" s="497"/>
      <c r="BC1" s="493" t="s">
        <v>102</v>
      </c>
      <c r="BD1" s="494"/>
      <c r="BE1" s="494"/>
      <c r="BF1" s="494"/>
      <c r="BG1" s="494"/>
      <c r="BH1" s="495"/>
      <c r="BI1" s="497" t="s">
        <v>101</v>
      </c>
      <c r="BJ1" s="497"/>
      <c r="BK1" s="497"/>
      <c r="BL1" s="497"/>
      <c r="BM1" s="497"/>
      <c r="BN1" s="497"/>
      <c r="BO1" s="497" t="s">
        <v>106</v>
      </c>
      <c r="BP1" s="497"/>
      <c r="BQ1" s="497"/>
      <c r="BR1" s="497"/>
      <c r="BS1" s="497"/>
      <c r="BT1" s="497"/>
      <c r="BU1" s="497" t="s">
        <v>107</v>
      </c>
      <c r="BV1" s="497"/>
      <c r="BW1" s="497"/>
      <c r="BX1" s="497"/>
      <c r="BY1" s="497"/>
      <c r="BZ1" s="493" t="s">
        <v>108</v>
      </c>
      <c r="CA1" s="494"/>
      <c r="CB1" s="494"/>
      <c r="CC1" s="494"/>
      <c r="CD1" s="494"/>
      <c r="CE1" s="495"/>
      <c r="CF1" s="497" t="s">
        <v>110</v>
      </c>
      <c r="CG1" s="497"/>
      <c r="CH1" s="497"/>
      <c r="CI1" s="497"/>
      <c r="CJ1" s="497"/>
      <c r="CK1" s="497"/>
    </row>
    <row r="2" spans="1:89">
      <c r="A2" s="4"/>
      <c r="Z2" s="504" t="s">
        <v>55</v>
      </c>
      <c r="AA2" s="504"/>
      <c r="AC2" s="273" t="s">
        <v>56</v>
      </c>
      <c r="AD2" s="273"/>
      <c r="AE2" s="271" t="s">
        <v>56</v>
      </c>
      <c r="AF2" s="271"/>
      <c r="AG2" s="271"/>
      <c r="AH2" s="273"/>
      <c r="AI2" s="273"/>
      <c r="AJ2" s="158" t="s">
        <v>57</v>
      </c>
      <c r="AK2" s="158" t="s">
        <v>66</v>
      </c>
      <c r="AL2" s="498" t="s">
        <v>58</v>
      </c>
      <c r="AM2" s="498"/>
      <c r="AN2" s="498"/>
      <c r="AO2" s="498"/>
      <c r="AP2" s="498"/>
      <c r="AQ2" s="158" t="s">
        <v>66</v>
      </c>
      <c r="AR2" s="499" t="s">
        <v>58</v>
      </c>
      <c r="AS2" s="499">
        <v>0</v>
      </c>
      <c r="AT2" s="499">
        <v>0</v>
      </c>
      <c r="AU2" s="499">
        <v>0</v>
      </c>
      <c r="AV2" s="499">
        <v>0</v>
      </c>
      <c r="AW2" s="158" t="s">
        <v>66</v>
      </c>
      <c r="AX2" s="499" t="s">
        <v>58</v>
      </c>
      <c r="AY2" s="499">
        <v>0</v>
      </c>
      <c r="AZ2" s="499">
        <v>0</v>
      </c>
      <c r="BA2" s="499">
        <v>0</v>
      </c>
      <c r="BB2" s="499">
        <v>0</v>
      </c>
      <c r="BC2" s="159" t="s">
        <v>66</v>
      </c>
      <c r="BD2" s="496" t="s">
        <v>58</v>
      </c>
      <c r="BE2" s="496"/>
      <c r="BF2" s="496"/>
      <c r="BG2" s="496"/>
      <c r="BH2" s="496"/>
      <c r="BI2" s="158" t="s">
        <v>66</v>
      </c>
      <c r="BJ2" s="498" t="s">
        <v>58</v>
      </c>
      <c r="BK2" s="498"/>
      <c r="BL2" s="498"/>
      <c r="BM2" s="498"/>
      <c r="BN2" s="498"/>
      <c r="BO2" s="158" t="s">
        <v>66</v>
      </c>
      <c r="BP2" s="499" t="s">
        <v>58</v>
      </c>
      <c r="BQ2" s="499">
        <v>0</v>
      </c>
      <c r="BR2" s="499">
        <v>0</v>
      </c>
      <c r="BS2" s="499">
        <v>0</v>
      </c>
      <c r="BT2" s="499">
        <v>0</v>
      </c>
      <c r="BU2" s="499" t="s">
        <v>59</v>
      </c>
      <c r="BV2" s="499"/>
      <c r="BW2" s="499"/>
      <c r="BX2" s="499"/>
      <c r="BY2" s="499"/>
      <c r="BZ2" s="159" t="s">
        <v>66</v>
      </c>
      <c r="CA2" s="496" t="s">
        <v>58</v>
      </c>
      <c r="CB2" s="496"/>
      <c r="CC2" s="496"/>
      <c r="CD2" s="496"/>
      <c r="CE2" s="496"/>
      <c r="CF2" s="158" t="s">
        <v>66</v>
      </c>
      <c r="CG2" s="498" t="s">
        <v>58</v>
      </c>
      <c r="CH2" s="498"/>
      <c r="CI2" s="498"/>
      <c r="CJ2" s="498"/>
      <c r="CK2" s="498"/>
    </row>
    <row r="3" spans="1:89" ht="27.6">
      <c r="A3" s="4"/>
      <c r="Z3" s="295" t="s">
        <v>54</v>
      </c>
      <c r="AA3" s="295" t="s">
        <v>257</v>
      </c>
      <c r="AC3" s="160" t="s">
        <v>45</v>
      </c>
      <c r="AD3" s="160">
        <v>18</v>
      </c>
      <c r="AE3" s="160"/>
      <c r="AF3" s="160"/>
      <c r="AG3" s="161"/>
      <c r="AH3" s="160"/>
      <c r="AI3" s="160"/>
      <c r="AJ3" s="160"/>
      <c r="AK3" s="273"/>
      <c r="AL3" s="272" t="s">
        <v>60</v>
      </c>
      <c r="AM3" s="272" t="s">
        <v>61</v>
      </c>
      <c r="AN3" s="272" t="s">
        <v>62</v>
      </c>
      <c r="AO3" s="272" t="s">
        <v>63</v>
      </c>
      <c r="AP3" s="272" t="s">
        <v>64</v>
      </c>
      <c r="AQ3" s="160"/>
      <c r="AR3" s="160" t="s">
        <v>60</v>
      </c>
      <c r="AS3" s="160" t="s">
        <v>61</v>
      </c>
      <c r="AT3" s="160" t="s">
        <v>62</v>
      </c>
      <c r="AU3" s="160" t="s">
        <v>63</v>
      </c>
      <c r="AV3" s="160" t="s">
        <v>64</v>
      </c>
      <c r="AW3" s="160"/>
      <c r="AX3" s="160" t="s">
        <v>60</v>
      </c>
      <c r="AY3" s="160" t="s">
        <v>61</v>
      </c>
      <c r="AZ3" s="160" t="s">
        <v>62</v>
      </c>
      <c r="BA3" s="160" t="s">
        <v>63</v>
      </c>
      <c r="BB3" s="160" t="s">
        <v>64</v>
      </c>
      <c r="BC3" s="274"/>
      <c r="BD3" s="274" t="s">
        <v>60</v>
      </c>
      <c r="BE3" s="274" t="s">
        <v>61</v>
      </c>
      <c r="BF3" s="274" t="s">
        <v>62</v>
      </c>
      <c r="BG3" s="274" t="s">
        <v>63</v>
      </c>
      <c r="BH3" s="274" t="s">
        <v>64</v>
      </c>
      <c r="BI3" s="273"/>
      <c r="BJ3" s="272" t="s">
        <v>60</v>
      </c>
      <c r="BK3" s="272" t="s">
        <v>61</v>
      </c>
      <c r="BL3" s="272" t="s">
        <v>62</v>
      </c>
      <c r="BM3" s="272" t="s">
        <v>63</v>
      </c>
      <c r="BN3" s="272" t="s">
        <v>64</v>
      </c>
      <c r="BO3" s="160"/>
      <c r="BP3" s="160" t="s">
        <v>60</v>
      </c>
      <c r="BQ3" s="160" t="s">
        <v>61</v>
      </c>
      <c r="BR3" s="160" t="s">
        <v>62</v>
      </c>
      <c r="BS3" s="160" t="s">
        <v>63</v>
      </c>
      <c r="BT3" s="160" t="s">
        <v>64</v>
      </c>
      <c r="BU3" s="160" t="s">
        <v>60</v>
      </c>
      <c r="BV3" s="160" t="s">
        <v>61</v>
      </c>
      <c r="BW3" s="160" t="s">
        <v>62</v>
      </c>
      <c r="BX3" s="160" t="s">
        <v>63</v>
      </c>
      <c r="BY3" s="160" t="s">
        <v>64</v>
      </c>
      <c r="BZ3" s="274"/>
      <c r="CA3" s="274" t="s">
        <v>60</v>
      </c>
      <c r="CB3" s="274" t="s">
        <v>61</v>
      </c>
      <c r="CC3" s="274" t="s">
        <v>62</v>
      </c>
      <c r="CD3" s="274" t="s">
        <v>63</v>
      </c>
      <c r="CE3" s="274" t="s">
        <v>64</v>
      </c>
      <c r="CF3" s="273"/>
      <c r="CG3" s="272" t="s">
        <v>60</v>
      </c>
      <c r="CH3" s="272" t="s">
        <v>61</v>
      </c>
      <c r="CI3" s="272" t="s">
        <v>62</v>
      </c>
      <c r="CJ3" s="272" t="s">
        <v>63</v>
      </c>
      <c r="CK3" s="272" t="s">
        <v>64</v>
      </c>
    </row>
    <row r="4" spans="1:89">
      <c r="A4" s="4"/>
      <c r="Z4" s="295">
        <v>9</v>
      </c>
      <c r="AA4" s="296">
        <v>1</v>
      </c>
      <c r="AC4" s="164" t="s">
        <v>245</v>
      </c>
      <c r="AD4" s="164">
        <v>18</v>
      </c>
      <c r="AE4" s="165">
        <v>9</v>
      </c>
      <c r="AF4" s="165">
        <v>9</v>
      </c>
      <c r="AG4" s="165"/>
      <c r="AH4" s="164"/>
      <c r="AI4" s="164"/>
      <c r="AJ4" s="522">
        <v>2</v>
      </c>
      <c r="AK4" s="166">
        <f ca="1">SUM(AL4:AP4)</f>
        <v>20.232222222222219</v>
      </c>
      <c r="AL4" s="167">
        <f ca="1">IF((INDEX($AA$4:$AA$7,MATCH(INDOOR_1,$Z$4:$Z$7))*(INDEX($X$27:$X$46,MATCH($AD4,$W$27:$W$46,1))/(INDEX($AA$4:$AA$7,MATCH(INDOOR_1,$Z$4:$Z$7))+INDEX($AA$4:$AA$7,MATCH(INDOOR_2,$Z$4:$Z$7)))))
&gt;AR4,AR4,
(INDEX($AA$4:$AA$7,MATCH(INDOOR_1,$Z$4:$Z$7))*(INDEX($X$27:$X$46,MATCH($AD4,$W$27:$W$46,1))/(INDEX($AA$4:$AA$7,MATCH(INDOOR_1,$Z$4:$Z$7))+INDEX($AA$4:$AA$7,MATCH(INDOOR_2,$Z$4:$Z$7))))))</f>
        <v>10.11611111111111</v>
      </c>
      <c r="AM4" s="167">
        <f ca="1">IF((INDEX($AA$4:$AA$7,MATCH(INDOOR_2,$Z$4:$Z$7))*(INDEX($X$27:$X$46,MATCH($AD4,$W$27:$W$46,1))/(INDEX($AA$4:$AA$7,MATCH(INDOOR_1,$Z$4:$Z$7))+INDEX($AA$4:$AA$7,MATCH(INDOOR_2,$Z$4:$Z$7)))))
&gt;AS4,AS4,
(INDEX($AA$4:$AA$7,MATCH(INDOOR_2,$Z$4:$Z$7))*(INDEX($X$27:$X$46,MATCH($AD4,$W$27:$W$46,1))/(INDEX($AA$4:$AA$7,MATCH(INDOOR_1,$Z$4:$Z$7))+INDEX($AA$4:$AA$7,MATCH(INDOOR_2,$Z$4:$Z$7))))))</f>
        <v>10.11611111111111</v>
      </c>
      <c r="AN4" s="168"/>
      <c r="AO4" s="168"/>
      <c r="AP4" s="168"/>
      <c r="AQ4" s="169">
        <f ca="1">SUM(AR4:AV4)</f>
        <v>20.926222222222222</v>
      </c>
      <c r="AR4" s="170">
        <f ca="1">INDEX('Cap based on indoor unit SZ'!$J$6:$J$21,MATCH(AE4,'Cap based on indoor unit SZ'!$I$6:$I$21))</f>
        <v>10.463111111111111</v>
      </c>
      <c r="AS4" s="170">
        <f ca="1">INDEX('Cap based on indoor unit SZ'!$J$6:$J$21,MATCH(AF4,'Cap based on indoor unit SZ'!$I$6:$I$21))</f>
        <v>10.463111111111111</v>
      </c>
      <c r="AT4" s="171"/>
      <c r="AU4" s="171"/>
      <c r="AV4" s="171"/>
      <c r="AW4" s="169">
        <f>SUM(AX4:BB4)</f>
        <v>18</v>
      </c>
      <c r="AX4" s="170">
        <v>9</v>
      </c>
      <c r="AY4" s="170">
        <v>9</v>
      </c>
      <c r="AZ4" s="171"/>
      <c r="BA4" s="171"/>
      <c r="BB4" s="171"/>
      <c r="BC4" s="172">
        <f ca="1">SUM(BD4:BH4)</f>
        <v>20.232222222222219</v>
      </c>
      <c r="BD4" s="173">
        <f ca="1">(INDEX($AA$4:$AA$7,MATCH(INDOOR_1,$Z$4:$Z$7))*(INDEX($X$27:$X$46,MATCH($AD4,$W$27:$W$46,1))/(INDEX($AA$4:$AA$7,MATCH(INDOOR_1,$Z$4:$Z$7))+INDEX($AA$4:$AA$7,MATCH(INDOOR_2,$Z$4:$Z$7)))))</f>
        <v>10.11611111111111</v>
      </c>
      <c r="BE4" s="173">
        <f ca="1">(INDEX($AA$4:$AA$7,MATCH(INDOOR_2,$Z$4:$Z$7))*(INDEX($X$27:$X$46,MATCH($AD4,$W$27:$W$46,1))/(INDEX($AA$4:$AA$7,MATCH(INDOOR_1,$Z$4:$Z$7))+INDEX($AA$4:$AA$7,MATCH(INDOOR_2,$Z$4:$Z$7)))))</f>
        <v>10.11611111111111</v>
      </c>
      <c r="BF4" s="174"/>
      <c r="BG4" s="174"/>
      <c r="BH4" s="174"/>
      <c r="BI4" s="166">
        <f ca="1">SUM(BJ4:BN4)</f>
        <v>20.458273504273503</v>
      </c>
      <c r="BJ4" s="167">
        <f ca="1">IF((INDEX($AA$4:$AA$7,MATCH(INDOOR_1,$Z$4:$Z$7))*(INDEX($X$118:$X$137,MATCH($AD4,$W$118:$W$137,1))/(INDEX($AA$4:$AA$7,MATCH(INDOOR_1,$Z$4:$Z$7))+INDEX($AA$4:$AA$7,MATCH(INDOOR_2,$Z$4:$Z$7)))))
&gt;BP4,BP4,
(INDEX($AA$4:$AA$7,MATCH(INDOOR_1,$Z$4:$Z$7))*(INDEX($X$118:$X$137,MATCH($AD4,$W$118:$W$137,1))/(INDEX($AA$4:$AA$7,MATCH(INDOOR_1,$Z$4:$Z$7))+INDEX($AA$4:$AA$7,MATCH(INDOOR_2,$Z$4:$Z$7))))))</f>
        <v>10.229136752136752</v>
      </c>
      <c r="BK4" s="167">
        <f ca="1">IF((INDEX($AA$4:$AA$7,MATCH(INDOOR_2,$Z$4:$Z$7))*(INDEX($X$118:$X$137,MATCH($AD4,$W$118:$W$137,1))/(INDEX($AA$4:$AA$7,MATCH(INDOOR_1,$Z$4:$Z$7))+INDEX($AA$4:$AA$7,MATCH(INDOOR_2,$Z$4:$Z$7)))))
&gt;BQ4,BQ4,
(INDEX($AA$4:$AA$7,MATCH(INDOOR_2,$Z$4:$Z$7))*(INDEX($X$118:$X$137,MATCH($AD4,$W$118:$W$137,1))/(INDEX($AA$4:$AA$7,MATCH(INDOOR_1,$Z$4:$Z$7))+INDEX($AA$4:$AA$7,MATCH(INDOOR_2,$Z$4:$Z$7))))))</f>
        <v>10.229136752136752</v>
      </c>
      <c r="BL4" s="168"/>
      <c r="BM4" s="168"/>
      <c r="BN4" s="168"/>
      <c r="BO4" s="169">
        <f ca="1">SUM(BP4:BT4)</f>
        <v>23.912041025641024</v>
      </c>
      <c r="BP4" s="170">
        <f ca="1">INDEX('Cap based on indoor unit SZ'!$V$43:$V$58,MATCH(AE4,'Cap based on indoor unit SZ'!$U$43:$U$58))</f>
        <v>11.956020512820512</v>
      </c>
      <c r="BQ4" s="170">
        <f ca="1">INDEX('Cap based on indoor unit SZ'!$V$43:$V$58,MATCH(AF4,'Cap based on indoor unit SZ'!$U$43:$U$58))</f>
        <v>11.956020512820512</v>
      </c>
      <c r="BR4" s="171"/>
      <c r="BS4" s="171"/>
      <c r="BT4" s="171"/>
      <c r="BU4" s="175">
        <v>9500</v>
      </c>
      <c r="BV4" s="175">
        <v>9500</v>
      </c>
      <c r="BW4" s="171"/>
      <c r="BX4" s="171"/>
      <c r="BY4" s="171"/>
      <c r="BZ4" s="172">
        <f ca="1">SUM(CA4:CE4)</f>
        <v>20.458273504273503</v>
      </c>
      <c r="CA4" s="173">
        <f ca="1">(INDEX($AA$4:$AA$7,MATCH(INDOOR_1,$Z$4:$Z$7))*(INDEX($X$118:$X$137,MATCH($AD4,$W$118:$W$137,1))/(INDEX($AA$4:$AA$7,MATCH(INDOOR_1,$Z$4:$Z$7))+INDEX($AA$4:$AA$7,MATCH(INDOOR_2,$Z$4:$Z$7)))))</f>
        <v>10.229136752136752</v>
      </c>
      <c r="CB4" s="173">
        <f ca="1">(INDEX($AA$4:$AA$7,MATCH(INDOOR_2,$Z$4:$Z$7))*(INDEX($X$118:$X$137,MATCH($AD4,$W$118:$W$137,1))/(INDEX($AA$4:$AA$7,MATCH(INDOOR_1,$Z$4:$Z$7))+INDEX($AA$4:$AA$7,MATCH(INDOOR_2,$Z$4:$Z$7)))))</f>
        <v>10.229136752136752</v>
      </c>
      <c r="CC4" s="174"/>
      <c r="CD4" s="174"/>
      <c r="CE4" s="174"/>
      <c r="CF4" s="166">
        <f ca="1">SUM(CG4:CK4)</f>
        <v>14.694619136709546</v>
      </c>
      <c r="CG4" s="167">
        <f t="shared" ref="CG4:CH6" ca="1" si="0">AL4*(INDEX($X$67:$X$86,MATCH($AD4,$W$67:$W$86,1)))</f>
        <v>7.3473095683547731</v>
      </c>
      <c r="CH4" s="167">
        <f t="shared" ca="1" si="0"/>
        <v>7.3473095683547731</v>
      </c>
      <c r="CI4" s="168"/>
      <c r="CJ4" s="168"/>
      <c r="CK4" s="168"/>
    </row>
    <row r="5" spans="1:89">
      <c r="A5" s="4"/>
      <c r="Z5" s="295">
        <v>12</v>
      </c>
      <c r="AA5" s="296">
        <v>1.3333333333333333</v>
      </c>
      <c r="AC5" s="164" t="s">
        <v>228</v>
      </c>
      <c r="AD5" s="164">
        <v>18</v>
      </c>
      <c r="AE5" s="165">
        <v>9</v>
      </c>
      <c r="AF5" s="165">
        <v>12</v>
      </c>
      <c r="AG5" s="165"/>
      <c r="AH5" s="164"/>
      <c r="AI5" s="164"/>
      <c r="AJ5" s="525"/>
      <c r="AK5" s="166">
        <f ca="1">SUM(AL5:AP5)</f>
        <v>20.232222222222219</v>
      </c>
      <c r="AL5" s="167">
        <f ca="1">IF((INDEX($AA$4:$AA$7,MATCH(INDOOR_1,$Z$4:$Z$7))*(INDEX($X$27:$X$46,MATCH($AD5,$W$27:$W$46,1))/(INDEX($AA$4:$AA$7,MATCH(INDOOR_1,$Z$4:$Z$7))+INDEX($AA$4:$AA$7,MATCH(INDOOR_2,$Z$4:$Z$7)))))
&gt;AR5,AR5,
(INDEX($AA$4:$AA$7,MATCH(INDOOR_1,$Z$4:$Z$7))*(INDEX($X$27:$X$46,MATCH($AD5,$W$27:$W$46,1))/(INDEX($AA$4:$AA$7,MATCH(INDOOR_1,$Z$4:$Z$7))+INDEX($AA$4:$AA$7,MATCH(INDOOR_2,$Z$4:$Z$7))))))</f>
        <v>8.6709523809523805</v>
      </c>
      <c r="AM5" s="167">
        <f ca="1">IF((INDEX($AA$4:$AA$7,MATCH(INDOOR_2,$Z$4:$Z$7))*(INDEX($X$27:$X$46,MATCH($AD5,$W$27:$W$46,1))/(INDEX($AA$4:$AA$7,MATCH(INDOOR_1,$Z$4:$Z$7))+INDEX($AA$4:$AA$7,MATCH(INDOOR_2,$Z$4:$Z$7)))))
&gt;AS5,AS5,
(INDEX($AA$4:$AA$7,MATCH(INDOOR_2,$Z$4:$Z$7))*(INDEX($X$27:$X$46,MATCH($AD5,$W$27:$W$46,1))/(INDEX($AA$4:$AA$7,MATCH(INDOOR_1,$Z$4:$Z$7))+INDEX($AA$4:$AA$7,MATCH(INDOOR_2,$Z$4:$Z$7))))))</f>
        <v>11.561269841269841</v>
      </c>
      <c r="AN5" s="168"/>
      <c r="AO5" s="168"/>
      <c r="AP5" s="168"/>
      <c r="AQ5" s="169">
        <f ca="1">SUM(AR5:AV5)</f>
        <v>23.542000000000002</v>
      </c>
      <c r="AR5" s="170">
        <f ca="1">INDEX('Cap based on indoor unit SZ'!$J$6:$J$21,MATCH(AE5,'Cap based on indoor unit SZ'!$I$6:$I$21))</f>
        <v>10.463111111111111</v>
      </c>
      <c r="AS5" s="170">
        <f ca="1">INDEX('Cap based on indoor unit SZ'!$J$6:$J$21,MATCH(AF5,'Cap based on indoor unit SZ'!$I$6:$I$21))</f>
        <v>13.078888888888891</v>
      </c>
      <c r="AT5" s="171"/>
      <c r="AU5" s="171"/>
      <c r="AV5" s="171"/>
      <c r="AW5" s="169">
        <f t="shared" ref="AW5:AW6" si="1">SUM(AX5:BB5)</f>
        <v>19</v>
      </c>
      <c r="AX5" s="170">
        <v>8.5</v>
      </c>
      <c r="AY5" s="170">
        <v>10.5</v>
      </c>
      <c r="AZ5" s="171"/>
      <c r="BA5" s="171"/>
      <c r="BB5" s="171"/>
      <c r="BC5" s="172">
        <f ca="1">SUM(BD5:BH5)</f>
        <v>20.232222222222219</v>
      </c>
      <c r="BD5" s="173">
        <f ca="1">(INDEX($AA$4:$AA$7,MATCH(AE5,$Z$4:$Z$7))*(INDEX($X$27:$X$46,MATCH($AD5,$W$27:$W$46,1))/(INDEX($AA$4:$AA$7,MATCH(AE5,$Z$4:$Z$7))+INDEX($AA$4:$AA$7,MATCH(AF5,$Z$4:$Z$7)))))</f>
        <v>8.6709523809523805</v>
      </c>
      <c r="BE5" s="173">
        <f ca="1">(INDEX($AA$4:$AA$7,MATCH(AF5,$Z$4:$Z$7))*(INDEX($X$27:$X$46,MATCH($AD5,$W$27:$W$46,1))/(INDEX($AA$4:$AA$7,MATCH(AE5,$Z$4:$Z$7))+INDEX($AA$4:$AA$7,MATCH(AF5,$Z$4:$Z$7)))))</f>
        <v>11.561269841269841</v>
      </c>
      <c r="BF5" s="174"/>
      <c r="BG5" s="174"/>
      <c r="BH5" s="174"/>
      <c r="BI5" s="166">
        <f ca="1">SUM(BJ5:BN5)</f>
        <v>20.458273504273503</v>
      </c>
      <c r="BJ5" s="167">
        <f ca="1">IF((INDEX($AA$4:$AA$7,MATCH(INDOOR_1,$Z$4:$Z$7))*(INDEX($X$118:$X$137,MATCH($AD5,$W$118:$W$137,1))/(INDEX($AA$4:$AA$7,MATCH(INDOOR_1,$Z$4:$Z$7))+INDEX($AA$4:$AA$7,MATCH(INDOOR_2,$Z$4:$Z$7)))))
&gt;BP5,BP5,
(INDEX($AA$4:$AA$7,MATCH(INDOOR_1,$Z$4:$Z$7))*(INDEX($X$118:$X$137,MATCH($AD5,$W$118:$W$137,1))/(INDEX($AA$4:$AA$7,MATCH(INDOOR_1,$Z$4:$Z$7))+INDEX($AA$4:$AA$7,MATCH(INDOOR_2,$Z$4:$Z$7))))))</f>
        <v>8.7678315018315018</v>
      </c>
      <c r="BK5" s="167">
        <f ca="1">IF((INDEX($AA$4:$AA$7,MATCH(INDOOR_2,$Z$4:$Z$7))*(INDEX($X$118:$X$137,MATCH($AD5,$W$118:$W$137,1))/(INDEX($AA$4:$AA$7,MATCH(INDOOR_1,$Z$4:$Z$7))+INDEX($AA$4:$AA$7,MATCH(INDOOR_2,$Z$4:$Z$7)))))
&gt;BQ5,BQ5,
(INDEX($AA$4:$AA$7,MATCH(INDOOR_2,$Z$4:$Z$7))*(INDEX($X$118:$X$137,MATCH($AD5,$W$118:$W$137,1))/(INDEX($AA$4:$AA$7,MATCH(INDOOR_1,$Z$4:$Z$7))+INDEX($AA$4:$AA$7,MATCH(INDOOR_2,$Z$4:$Z$7))))))</f>
        <v>11.690442002442001</v>
      </c>
      <c r="BL5" s="168"/>
      <c r="BM5" s="168"/>
      <c r="BN5" s="168"/>
      <c r="BO5" s="169">
        <f ca="1">SUM(BP5:BT5)</f>
        <v>26.901046153846153</v>
      </c>
      <c r="BP5" s="170">
        <f ca="1">INDEX('Cap based on indoor unit SZ'!$V$43:$V$58,MATCH(AE5,'Cap based on indoor unit SZ'!$U$43:$U$58))</f>
        <v>11.956020512820512</v>
      </c>
      <c r="BQ5" s="170">
        <f ca="1">INDEX('Cap based on indoor unit SZ'!$V$43:$V$58,MATCH(AF5,'Cap based on indoor unit SZ'!$U$43:$U$58))</f>
        <v>14.945025641025641</v>
      </c>
      <c r="BR5" s="171"/>
      <c r="BS5" s="171"/>
      <c r="BT5" s="171"/>
      <c r="BU5" s="175">
        <v>9000</v>
      </c>
      <c r="BV5" s="175">
        <v>11000</v>
      </c>
      <c r="BW5" s="171"/>
      <c r="BX5" s="171"/>
      <c r="BY5" s="171"/>
      <c r="BZ5" s="172">
        <f ca="1">SUM(CA5:CE5)</f>
        <v>20.458273504273503</v>
      </c>
      <c r="CA5" s="173">
        <f ca="1">(INDEX($AA$4:$AA$7,MATCH(INDOOR_1,$Z$4:$Z$7))*(INDEX($X$118:$X$137,MATCH($AD5,$W$118:$W$137,1))/(INDEX($AA$4:$AA$7,MATCH(INDOOR_1,$Z$4:$Z$7))+INDEX($AA$4:$AA$7,MATCH(INDOOR_2,$Z$4:$Z$7)))))</f>
        <v>8.7678315018315018</v>
      </c>
      <c r="CB5" s="173">
        <f ca="1">(INDEX($AA$4:$AA$7,MATCH(INDOOR_2,$Z$4:$Z$7))*(INDEX($X$118:$X$137,MATCH($AD5,$W$118:$W$137,1))/(INDEX($AA$4:$AA$7,MATCH(INDOOR_1,$Z$4:$Z$7))+INDEX($AA$4:$AA$7,MATCH(INDOOR_2,$Z$4:$Z$7)))))</f>
        <v>11.690442002442001</v>
      </c>
      <c r="CC5" s="174"/>
      <c r="CD5" s="174"/>
      <c r="CE5" s="174"/>
      <c r="CF5" s="166">
        <f ca="1">SUM(CG5:CK5)</f>
        <v>14.694619136709548</v>
      </c>
      <c r="CG5" s="167">
        <f t="shared" ca="1" si="0"/>
        <v>6.2976939157326628</v>
      </c>
      <c r="CH5" s="167">
        <f t="shared" ca="1" si="0"/>
        <v>8.3969252209768843</v>
      </c>
      <c r="CI5" s="168"/>
      <c r="CJ5" s="168"/>
      <c r="CK5" s="168"/>
    </row>
    <row r="6" spans="1:89">
      <c r="A6" s="4"/>
      <c r="Z6" s="295">
        <v>18</v>
      </c>
      <c r="AA6" s="296">
        <v>2</v>
      </c>
      <c r="AC6" s="164" t="s">
        <v>186</v>
      </c>
      <c r="AD6" s="164">
        <v>18</v>
      </c>
      <c r="AE6" s="165">
        <v>12</v>
      </c>
      <c r="AF6" s="165">
        <v>12</v>
      </c>
      <c r="AG6" s="165"/>
      <c r="AH6" s="164"/>
      <c r="AI6" s="164"/>
      <c r="AJ6" s="526"/>
      <c r="AK6" s="166">
        <f ca="1">SUM(AL6:AP6)</f>
        <v>20.232222222222219</v>
      </c>
      <c r="AL6" s="167">
        <f ca="1">IF((INDEX($AA$4:$AA$7,MATCH(INDOOR_1,$Z$4:$Z$7))*(INDEX($X$27:$X$46,MATCH($AD6,$W$27:$W$46,1))/(INDEX($AA$4:$AA$7,MATCH(INDOOR_1,$Z$4:$Z$7))+INDEX($AA$4:$AA$7,MATCH(INDOOR_2,$Z$4:$Z$7)))))
&gt;AR6,AR6,
(INDEX($AA$4:$AA$7,MATCH(INDOOR_1,$Z$4:$Z$7))*(INDEX($X$27:$X$46,MATCH($AD6,$W$27:$W$46,1))/(INDEX($AA$4:$AA$7,MATCH(INDOOR_1,$Z$4:$Z$7))+INDEX($AA$4:$AA$7,MATCH(INDOOR_2,$Z$4:$Z$7))))))</f>
        <v>10.11611111111111</v>
      </c>
      <c r="AM6" s="167">
        <f ca="1">IF((INDEX($AA$4:$AA$7,MATCH(INDOOR_2,$Z$4:$Z$7))*(INDEX($X$27:$X$46,MATCH($AD6,$W$27:$W$46,1))/(INDEX($AA$4:$AA$7,MATCH(INDOOR_1,$Z$4:$Z$7))+INDEX($AA$4:$AA$7,MATCH(INDOOR_2,$Z$4:$Z$7)))))
&gt;AS6,AS6,
(INDEX($AA$4:$AA$7,MATCH(INDOOR_2,$Z$4:$Z$7))*(INDEX($X$27:$X$46,MATCH($AD6,$W$27:$W$46,1))/(INDEX($AA$4:$AA$7,MATCH(INDOOR_1,$Z$4:$Z$7))+INDEX($AA$4:$AA$7,MATCH(INDOOR_2,$Z$4:$Z$7))))))</f>
        <v>10.11611111111111</v>
      </c>
      <c r="AN6" s="168"/>
      <c r="AO6" s="168"/>
      <c r="AP6" s="168"/>
      <c r="AQ6" s="169">
        <f ca="1">SUM(AR6:AV6)</f>
        <v>26.157777777777781</v>
      </c>
      <c r="AR6" s="170">
        <f ca="1">INDEX('Cap based on indoor unit SZ'!$J$6:$J$21,MATCH(AE6,'Cap based on indoor unit SZ'!$I$6:$I$21))</f>
        <v>13.078888888888891</v>
      </c>
      <c r="AS6" s="170">
        <f ca="1">INDEX('Cap based on indoor unit SZ'!$J$6:$J$21,MATCH(AF6,'Cap based on indoor unit SZ'!$I$6:$I$21))</f>
        <v>13.078888888888891</v>
      </c>
      <c r="AT6" s="171"/>
      <c r="AU6" s="171"/>
      <c r="AV6" s="171"/>
      <c r="AW6" s="169">
        <f t="shared" si="1"/>
        <v>19</v>
      </c>
      <c r="AX6" s="170">
        <v>9.5</v>
      </c>
      <c r="AY6" s="170">
        <v>9.5</v>
      </c>
      <c r="AZ6" s="171"/>
      <c r="BA6" s="171"/>
      <c r="BB6" s="171"/>
      <c r="BC6" s="172">
        <f ca="1">SUM(BD6:BH6)</f>
        <v>20.232222222222219</v>
      </c>
      <c r="BD6" s="173">
        <f ca="1">(INDEX($AA$4:$AA$7,MATCH(AE6,$Z$4:$Z$7))*(INDEX($X$27:$X$46,MATCH($AD6,$W$27:$W$46,1))/(INDEX($AA$4:$AA$7,MATCH(AE6,$Z$4:$Z$7))+INDEX($AA$4:$AA$7,MATCH(AF6,$Z$4:$Z$7)))))</f>
        <v>10.11611111111111</v>
      </c>
      <c r="BE6" s="173">
        <f ca="1">(INDEX($AA$4:$AA$7,MATCH(AF6,$Z$4:$Z$7))*(INDEX($X$27:$X$46,MATCH($AD6,$W$27:$W$46,1))/(INDEX($AA$4:$AA$7,MATCH(AE6,$Z$4:$Z$7))+INDEX($AA$4:$AA$7,MATCH(AF6,$Z$4:$Z$7)))))</f>
        <v>10.11611111111111</v>
      </c>
      <c r="BF6" s="174"/>
      <c r="BG6" s="174"/>
      <c r="BH6" s="174"/>
      <c r="BI6" s="166">
        <f ca="1">SUM(BJ6:BN6)</f>
        <v>20.458273504273503</v>
      </c>
      <c r="BJ6" s="167">
        <f ca="1">IF((INDEX($AA$4:$AA$7,MATCH(INDOOR_1,$Z$4:$Z$7))*(INDEX($X$118:$X$137,MATCH($AD6,$W$118:$W$137,1))/(INDEX($AA$4:$AA$7,MATCH(INDOOR_1,$Z$4:$Z$7))+INDEX($AA$4:$AA$7,MATCH(INDOOR_2,$Z$4:$Z$7)))))
&gt;BP6,BP6,
(INDEX($AA$4:$AA$7,MATCH(INDOOR_1,$Z$4:$Z$7))*(INDEX($X$118:$X$137,MATCH($AD6,$W$118:$W$137,1))/(INDEX($AA$4:$AA$7,MATCH(INDOOR_1,$Z$4:$Z$7))+INDEX($AA$4:$AA$7,MATCH(INDOOR_2,$Z$4:$Z$7))))))</f>
        <v>10.229136752136752</v>
      </c>
      <c r="BK6" s="167">
        <f ca="1">IF((INDEX($AA$4:$AA$7,MATCH(INDOOR_2,$Z$4:$Z$7))*(INDEX($X$118:$X$137,MATCH($AD6,$W$118:$W$137,1))/(INDEX($AA$4:$AA$7,MATCH(INDOOR_1,$Z$4:$Z$7))+INDEX($AA$4:$AA$7,MATCH(INDOOR_2,$Z$4:$Z$7)))))
&gt;BQ6,BQ6,
(INDEX($AA$4:$AA$7,MATCH(INDOOR_2,$Z$4:$Z$7))*(INDEX($X$118:$X$137,MATCH($AD6,$W$118:$W$137,1))/(INDEX($AA$4:$AA$7,MATCH(INDOOR_1,$Z$4:$Z$7))+INDEX($AA$4:$AA$7,MATCH(INDOOR_2,$Z$4:$Z$7))))))</f>
        <v>10.229136752136752</v>
      </c>
      <c r="BL6" s="168"/>
      <c r="BM6" s="168"/>
      <c r="BN6" s="168"/>
      <c r="BO6" s="169">
        <f ca="1">SUM(BP6:BT6)</f>
        <v>29.890051282051282</v>
      </c>
      <c r="BP6" s="170">
        <f ca="1">INDEX('Cap based on indoor unit SZ'!$V$43:$V$58,MATCH(AE6,'Cap based on indoor unit SZ'!$U$43:$U$58))</f>
        <v>14.945025641025641</v>
      </c>
      <c r="BQ6" s="170">
        <f ca="1">INDEX('Cap based on indoor unit SZ'!$V$43:$V$58,MATCH(AF6,'Cap based on indoor unit SZ'!$U$43:$U$58))</f>
        <v>14.945025641025641</v>
      </c>
      <c r="BR6" s="171"/>
      <c r="BS6" s="171"/>
      <c r="BT6" s="171"/>
      <c r="BU6" s="175">
        <v>10000</v>
      </c>
      <c r="BV6" s="175">
        <v>10000</v>
      </c>
      <c r="BW6" s="171"/>
      <c r="BX6" s="171"/>
      <c r="BY6" s="171"/>
      <c r="BZ6" s="172">
        <f ca="1">SUM(CA6:CE6)</f>
        <v>20.458273504273503</v>
      </c>
      <c r="CA6" s="173">
        <f ca="1">(INDEX($AA$4:$AA$7,MATCH(INDOOR_1,$Z$4:$Z$7))*(INDEX($X$118:$X$137,MATCH($AD6,$W$118:$W$137,1))/(INDEX($AA$4:$AA$7,MATCH(INDOOR_1,$Z$4:$Z$7))+INDEX($AA$4:$AA$7,MATCH(INDOOR_2,$Z$4:$Z$7)))))</f>
        <v>10.229136752136752</v>
      </c>
      <c r="CB6" s="173">
        <f ca="1">(INDEX($AA$4:$AA$7,MATCH(INDOOR_2,$Z$4:$Z$7))*(INDEX($X$118:$X$137,MATCH($AD6,$W$118:$W$137,1))/(INDEX($AA$4:$AA$7,MATCH(INDOOR_1,$Z$4:$Z$7))+INDEX($AA$4:$AA$7,MATCH(INDOOR_2,$Z$4:$Z$7)))))</f>
        <v>10.229136752136752</v>
      </c>
      <c r="CC6" s="174"/>
      <c r="CD6" s="174"/>
      <c r="CE6" s="174"/>
      <c r="CF6" s="166">
        <f ca="1">SUM(CG6:CK6)</f>
        <v>14.694619136709546</v>
      </c>
      <c r="CG6" s="167">
        <f t="shared" ca="1" si="0"/>
        <v>7.3473095683547731</v>
      </c>
      <c r="CH6" s="167">
        <f t="shared" ca="1" si="0"/>
        <v>7.3473095683547731</v>
      </c>
      <c r="CI6" s="168"/>
      <c r="CJ6" s="168"/>
      <c r="CK6" s="168"/>
    </row>
    <row r="7" spans="1:89">
      <c r="A7" s="4"/>
      <c r="Z7" s="295">
        <v>24</v>
      </c>
      <c r="AA7" s="296">
        <f>8/3</f>
        <v>2.6666666666666665</v>
      </c>
      <c r="AC7" s="160" t="s">
        <v>46</v>
      </c>
      <c r="AD7" s="160">
        <v>24</v>
      </c>
      <c r="AE7" s="160"/>
      <c r="AF7" s="160"/>
      <c r="AG7" s="160"/>
      <c r="AH7" s="160"/>
      <c r="AI7" s="160"/>
      <c r="AJ7" s="176"/>
      <c r="AK7" s="166"/>
      <c r="AL7" s="272" t="s">
        <v>60</v>
      </c>
      <c r="AM7" s="272" t="s">
        <v>61</v>
      </c>
      <c r="AN7" s="272" t="s">
        <v>62</v>
      </c>
      <c r="AO7" s="272" t="s">
        <v>63</v>
      </c>
      <c r="AP7" s="272" t="s">
        <v>64</v>
      </c>
      <c r="AQ7" s="169"/>
      <c r="AR7" s="160" t="s">
        <v>60</v>
      </c>
      <c r="AS7" s="160" t="s">
        <v>61</v>
      </c>
      <c r="AT7" s="160" t="s">
        <v>62</v>
      </c>
      <c r="AU7" s="160" t="s">
        <v>63</v>
      </c>
      <c r="AV7" s="160" t="s">
        <v>64</v>
      </c>
      <c r="AW7" s="169"/>
      <c r="AX7" s="160" t="s">
        <v>60</v>
      </c>
      <c r="AY7" s="160" t="s">
        <v>61</v>
      </c>
      <c r="AZ7" s="160" t="s">
        <v>62</v>
      </c>
      <c r="BA7" s="160" t="s">
        <v>63</v>
      </c>
      <c r="BB7" s="160" t="s">
        <v>64</v>
      </c>
      <c r="BC7" s="172"/>
      <c r="BD7" s="274" t="s">
        <v>60</v>
      </c>
      <c r="BE7" s="274" t="s">
        <v>61</v>
      </c>
      <c r="BF7" s="274" t="s">
        <v>62</v>
      </c>
      <c r="BG7" s="274" t="s">
        <v>63</v>
      </c>
      <c r="BH7" s="274" t="s">
        <v>64</v>
      </c>
      <c r="BI7" s="166"/>
      <c r="BJ7" s="272" t="s">
        <v>60</v>
      </c>
      <c r="BK7" s="272" t="s">
        <v>61</v>
      </c>
      <c r="BL7" s="272" t="s">
        <v>62</v>
      </c>
      <c r="BM7" s="272" t="s">
        <v>63</v>
      </c>
      <c r="BN7" s="272" t="s">
        <v>64</v>
      </c>
      <c r="BO7" s="169"/>
      <c r="BP7" s="160" t="s">
        <v>60</v>
      </c>
      <c r="BQ7" s="160" t="s">
        <v>61</v>
      </c>
      <c r="BR7" s="160" t="s">
        <v>62</v>
      </c>
      <c r="BS7" s="160" t="s">
        <v>63</v>
      </c>
      <c r="BT7" s="160" t="s">
        <v>64</v>
      </c>
      <c r="BU7" s="160" t="s">
        <v>60</v>
      </c>
      <c r="BV7" s="160" t="s">
        <v>61</v>
      </c>
      <c r="BW7" s="160" t="s">
        <v>62</v>
      </c>
      <c r="BX7" s="160" t="s">
        <v>63</v>
      </c>
      <c r="BY7" s="160" t="s">
        <v>64</v>
      </c>
      <c r="BZ7" s="172"/>
      <c r="CA7" s="274" t="s">
        <v>60</v>
      </c>
      <c r="CB7" s="274" t="s">
        <v>61</v>
      </c>
      <c r="CC7" s="274" t="s">
        <v>62</v>
      </c>
      <c r="CD7" s="274" t="s">
        <v>63</v>
      </c>
      <c r="CE7" s="274" t="s">
        <v>64</v>
      </c>
      <c r="CF7" s="166"/>
      <c r="CG7" s="272" t="s">
        <v>60</v>
      </c>
      <c r="CH7" s="272" t="s">
        <v>61</v>
      </c>
      <c r="CI7" s="272" t="s">
        <v>62</v>
      </c>
      <c r="CJ7" s="272" t="s">
        <v>63</v>
      </c>
      <c r="CK7" s="272" t="s">
        <v>64</v>
      </c>
    </row>
    <row r="8" spans="1:89">
      <c r="A8" s="4"/>
      <c r="AC8" s="164" t="s">
        <v>230</v>
      </c>
      <c r="AD8" s="164">
        <v>24</v>
      </c>
      <c r="AE8" s="165">
        <v>9</v>
      </c>
      <c r="AF8" s="165">
        <v>9</v>
      </c>
      <c r="AG8" s="165"/>
      <c r="AH8" s="164"/>
      <c r="AI8" s="164"/>
      <c r="AJ8" s="522">
        <v>2</v>
      </c>
      <c r="AK8" s="166">
        <f t="shared" ref="AK8:AK18" ca="1" si="2">SUM(AL8:AP8)</f>
        <v>20.926222222222222</v>
      </c>
      <c r="AL8" s="167">
        <f t="shared" ref="AL8:AL13" ca="1" si="3">IF((INDEX($AA$4:$AA$7,MATCH(INDOOR_1,$Z$4:$Z$7))*(INDEX($X$27:$X$46,MATCH($AD8,$W$27:$W$46,1))/(INDEX($AA$4:$AA$7,MATCH(INDOOR_1,$Z$4:$Z$7))+INDEX($AA$4:$AA$7,MATCH(INDOOR_2,$Z$4:$Z$7)))))
&gt;AR8,AR8,
(INDEX($AA$4:$AA$7,MATCH(INDOOR_1,$Z$4:$Z$7))*(INDEX($X$27:$X$46,MATCH($AD8,$W$27:$W$46,1))/(INDEX($AA$4:$AA$7,MATCH(INDOOR_1,$Z$4:$Z$7))+INDEX($AA$4:$AA$7,MATCH(INDOOR_2,$Z$4:$Z$7))))))</f>
        <v>10.463111111111111</v>
      </c>
      <c r="AM8" s="167">
        <f t="shared" ref="AM8:AM13" ca="1" si="4">IF((INDEX($AA$4:$AA$7,MATCH(INDOOR_2,$Z$4:$Z$7))*(INDEX($X$27:$X$46,MATCH($AD8,$W$27:$W$46,1))/(INDEX($AA$4:$AA$7,MATCH(INDOOR_1,$Z$4:$Z$7))+INDEX($AA$4:$AA$7,MATCH(INDOOR_2,$Z$4:$Z$7)))))
&gt;AS8,AS8,
(INDEX($AA$4:$AA$7,MATCH(INDOOR_2,$Z$4:$Z$7))*(INDEX($X$27:$X$46,MATCH($AD8,$W$27:$W$46,1))/(INDEX($AA$4:$AA$7,MATCH(INDOOR_1,$Z$4:$Z$7))+INDEX($AA$4:$AA$7,MATCH(INDOOR_2,$Z$4:$Z$7))))))</f>
        <v>10.463111111111111</v>
      </c>
      <c r="AN8" s="168"/>
      <c r="AO8" s="168"/>
      <c r="AP8" s="168"/>
      <c r="AQ8" s="169">
        <f t="shared" ref="AQ8:AQ18" ca="1" si="5">SUM(AR8:AV8)</f>
        <v>20.926222222222222</v>
      </c>
      <c r="AR8" s="170">
        <f ca="1">INDEX('Cap based on indoor unit SZ'!$J$6:$J$21,MATCH(AE8,'Cap based on indoor unit SZ'!$I$6:$I$21))</f>
        <v>10.463111111111111</v>
      </c>
      <c r="AS8" s="170">
        <f ca="1">INDEX('Cap based on indoor unit SZ'!$J$6:$J$21,MATCH(AF8,'Cap based on indoor unit SZ'!$I$6:$I$21))</f>
        <v>10.463111111111111</v>
      </c>
      <c r="AT8" s="171"/>
      <c r="AU8" s="171"/>
      <c r="AV8" s="171"/>
      <c r="AW8" s="169">
        <f t="shared" ref="AW8:AW18" si="6">SUM(AX8:BB8)</f>
        <v>19</v>
      </c>
      <c r="AX8" s="170">
        <v>9.5</v>
      </c>
      <c r="AY8" s="170">
        <v>9.5</v>
      </c>
      <c r="AZ8" s="171"/>
      <c r="BA8" s="171"/>
      <c r="BB8" s="171"/>
      <c r="BC8" s="172">
        <f t="shared" ref="BC8:BC18" ca="1" si="7">SUM(BD8:BH8)</f>
        <v>28.912222222222226</v>
      </c>
      <c r="BD8" s="173">
        <f t="shared" ref="BD8:BD13" ca="1" si="8">(INDEX($AA$4:$AA$7,MATCH(AE8,$Z$4:$Z$7))*(INDEX($X$27:$X$46,MATCH($AD8,$W$27:$W$46,1))/(INDEX($AA$4:$AA$7,MATCH(AE8,$Z$4:$Z$7))+INDEX($AA$4:$AA$7,MATCH(AF8,$Z$4:$Z$7)))))</f>
        <v>14.456111111111113</v>
      </c>
      <c r="BE8" s="173">
        <f t="shared" ref="BE8:BE13" ca="1" si="9">(INDEX($AA$4:$AA$7,MATCH(AF8,$Z$4:$Z$7))*(INDEX($X$27:$X$46,MATCH($AD8,$W$27:$W$46,1))/(INDEX($AA$4:$AA$7,MATCH(AE8,$Z$4:$Z$7))+INDEX($AA$4:$AA$7,MATCH(AF8,$Z$4:$Z$7)))))</f>
        <v>14.456111111111113</v>
      </c>
      <c r="BF8" s="174"/>
      <c r="BG8" s="174"/>
      <c r="BH8" s="174"/>
      <c r="BI8" s="166">
        <f t="shared" ref="BI8:BI18" ca="1" si="10">SUM(BJ8:BN8)</f>
        <v>23.912041025641024</v>
      </c>
      <c r="BJ8" s="167">
        <f t="shared" ref="BJ8:BJ13" ca="1" si="11">IF((INDEX($AA$4:$AA$7,MATCH(INDOOR_1,$Z$4:$Z$7))*(INDEX($X$118:$X$137,MATCH($AD8,$W$118:$W$137,1))/(INDEX($AA$4:$AA$7,MATCH(INDOOR_1,$Z$4:$Z$7))+INDEX($AA$4:$AA$7,MATCH(INDOOR_2,$Z$4:$Z$7)))))
&gt;BP8,BP8,
(INDEX($AA$4:$AA$7,MATCH(INDOOR_1,$Z$4:$Z$7))*(INDEX($X$118:$X$137,MATCH($AD8,$W$118:$W$137,1))/(INDEX($AA$4:$AA$7,MATCH(INDOOR_1,$Z$4:$Z$7))+INDEX($AA$4:$AA$7,MATCH(INDOOR_2,$Z$4:$Z$7))))))</f>
        <v>11.956020512820512</v>
      </c>
      <c r="BK8" s="167">
        <f t="shared" ref="BK8:BK13" ca="1" si="12">IF((INDEX($AA$4:$AA$7,MATCH(INDOOR_2,$Z$4:$Z$7))*(INDEX($X$118:$X$137,MATCH($AD8,$W$118:$W$137,1))/(INDEX($AA$4:$AA$7,MATCH(INDOOR_1,$Z$4:$Z$7))+INDEX($AA$4:$AA$7,MATCH(INDOOR_2,$Z$4:$Z$7)))))
&gt;BQ8,BQ8,
(INDEX($AA$4:$AA$7,MATCH(INDOOR_2,$Z$4:$Z$7))*(INDEX($X$118:$X$137,MATCH($AD8,$W$118:$W$137,1))/(INDEX($AA$4:$AA$7,MATCH(INDOOR_1,$Z$4:$Z$7))+INDEX($AA$4:$AA$7,MATCH(INDOOR_2,$Z$4:$Z$7))))))</f>
        <v>11.956020512820512</v>
      </c>
      <c r="BL8" s="168"/>
      <c r="BM8" s="168"/>
      <c r="BN8" s="168"/>
      <c r="BO8" s="169">
        <f t="shared" ref="BO8:BO18" ca="1" si="13">SUM(BP8:BT8)</f>
        <v>23.912041025641024</v>
      </c>
      <c r="BP8" s="170">
        <f ca="1">INDEX('Cap based on indoor unit SZ'!$V$43:$V$58,MATCH(AE8,'Cap based on indoor unit SZ'!$U$43:$U$58))</f>
        <v>11.956020512820512</v>
      </c>
      <c r="BQ8" s="170">
        <f ca="1">INDEX('Cap based on indoor unit SZ'!$V$43:$V$58,MATCH(AF8,'Cap based on indoor unit SZ'!$U$43:$U$58))</f>
        <v>11.956020512820512</v>
      </c>
      <c r="BR8" s="171"/>
      <c r="BS8" s="171"/>
      <c r="BT8" s="171"/>
      <c r="BU8" s="175">
        <v>10000</v>
      </c>
      <c r="BV8" s="175">
        <v>10000</v>
      </c>
      <c r="BW8" s="171"/>
      <c r="BX8" s="171"/>
      <c r="BY8" s="171"/>
      <c r="BZ8" s="172">
        <f t="shared" ref="BZ8:BZ18" ca="1" si="14">SUM(CA8:CE8)</f>
        <v>35.762119658119651</v>
      </c>
      <c r="CA8" s="173">
        <f t="shared" ref="CA8:CA13" ca="1" si="15">(INDEX($AA$4:$AA$7,MATCH(INDOOR_1,$Z$4:$Z$7))*(INDEX($X$118:$X$137,MATCH($AD8,$W$118:$W$137,1))/(INDEX($AA$4:$AA$7,MATCH(INDOOR_1,$Z$4:$Z$7))+INDEX($AA$4:$AA$7,MATCH(INDOOR_2,$Z$4:$Z$7)))))</f>
        <v>17.881059829059826</v>
      </c>
      <c r="CB8" s="173">
        <f t="shared" ref="CB8:CB13" ca="1" si="16">(INDEX($AA$4:$AA$7,MATCH(INDOOR_2,$Z$4:$Z$7))*(INDEX($X$118:$X$137,MATCH($AD8,$W$118:$W$137,1))/(INDEX($AA$4:$AA$7,MATCH(INDOOR_1,$Z$4:$Z$7))+INDEX($AA$4:$AA$7,MATCH(INDOOR_2,$Z$4:$Z$7)))))</f>
        <v>17.881059829059826</v>
      </c>
      <c r="CC8" s="174"/>
      <c r="CD8" s="174"/>
      <c r="CE8" s="174"/>
      <c r="CF8" s="166">
        <f t="shared" ref="CF8:CF18" ca="1" si="17">SUM(CG8:CK8)</f>
        <v>15.579867488570082</v>
      </c>
      <c r="CG8" s="167">
        <f t="shared" ref="CG8:CH18" ca="1" si="18">AL8*(INDEX($X$67:$X$86,MATCH($AD8,$W$67:$W$86,1)))</f>
        <v>7.7899337442850412</v>
      </c>
      <c r="CH8" s="167">
        <f t="shared" ca="1" si="18"/>
        <v>7.7899337442850412</v>
      </c>
      <c r="CI8" s="168"/>
      <c r="CJ8" s="168"/>
      <c r="CK8" s="168"/>
    </row>
    <row r="9" spans="1:89">
      <c r="A9" s="4"/>
      <c r="AC9" s="164" t="s">
        <v>228</v>
      </c>
      <c r="AD9" s="164">
        <v>24</v>
      </c>
      <c r="AE9" s="165">
        <v>9</v>
      </c>
      <c r="AF9" s="165">
        <v>12</v>
      </c>
      <c r="AG9" s="165"/>
      <c r="AH9" s="164"/>
      <c r="AI9" s="164"/>
      <c r="AJ9" s="523"/>
      <c r="AK9" s="166">
        <f t="shared" ca="1" si="2"/>
        <v>23.542000000000002</v>
      </c>
      <c r="AL9" s="167">
        <f t="shared" ca="1" si="3"/>
        <v>10.463111111111111</v>
      </c>
      <c r="AM9" s="167">
        <f t="shared" ca="1" si="4"/>
        <v>13.078888888888891</v>
      </c>
      <c r="AN9" s="168"/>
      <c r="AO9" s="168"/>
      <c r="AP9" s="168"/>
      <c r="AQ9" s="169">
        <f t="shared" ca="1" si="5"/>
        <v>23.542000000000002</v>
      </c>
      <c r="AR9" s="170">
        <f ca="1">INDEX('Cap based on indoor unit SZ'!$J$6:$J$21,MATCH(AE9,'Cap based on indoor unit SZ'!$I$6:$I$21))</f>
        <v>10.463111111111111</v>
      </c>
      <c r="AS9" s="170">
        <f ca="1">INDEX('Cap based on indoor unit SZ'!$J$6:$J$21,MATCH(AF9,'Cap based on indoor unit SZ'!$I$6:$I$21))</f>
        <v>13.078888888888891</v>
      </c>
      <c r="AT9" s="171"/>
      <c r="AU9" s="171"/>
      <c r="AV9" s="171"/>
      <c r="AW9" s="169">
        <f t="shared" si="6"/>
        <v>21.5</v>
      </c>
      <c r="AX9" s="170">
        <v>9.5</v>
      </c>
      <c r="AY9" s="170">
        <v>12</v>
      </c>
      <c r="AZ9" s="171"/>
      <c r="BA9" s="171"/>
      <c r="BB9" s="171"/>
      <c r="BC9" s="172">
        <f t="shared" ca="1" si="7"/>
        <v>28.91222222222223</v>
      </c>
      <c r="BD9" s="173">
        <f t="shared" ca="1" si="8"/>
        <v>12.390952380952385</v>
      </c>
      <c r="BE9" s="173">
        <f t="shared" ca="1" si="9"/>
        <v>16.521269841269845</v>
      </c>
      <c r="BF9" s="174"/>
      <c r="BG9" s="174"/>
      <c r="BH9" s="174"/>
      <c r="BI9" s="166">
        <f t="shared" ca="1" si="10"/>
        <v>26.901046153846153</v>
      </c>
      <c r="BJ9" s="167">
        <f t="shared" ca="1" si="11"/>
        <v>11.956020512820512</v>
      </c>
      <c r="BK9" s="167">
        <f t="shared" ca="1" si="12"/>
        <v>14.945025641025641</v>
      </c>
      <c r="BL9" s="168"/>
      <c r="BM9" s="168"/>
      <c r="BN9" s="168"/>
      <c r="BO9" s="169">
        <f t="shared" ca="1" si="13"/>
        <v>26.901046153846153</v>
      </c>
      <c r="BP9" s="170">
        <f ca="1">INDEX('Cap based on indoor unit SZ'!$V$43:$V$58,MATCH(AE9,'Cap based on indoor unit SZ'!$U$43:$U$58))</f>
        <v>11.956020512820512</v>
      </c>
      <c r="BQ9" s="170">
        <f ca="1">INDEX('Cap based on indoor unit SZ'!$V$43:$V$58,MATCH(AF9,'Cap based on indoor unit SZ'!$U$43:$U$58))</f>
        <v>14.945025641025641</v>
      </c>
      <c r="BR9" s="171"/>
      <c r="BS9" s="171"/>
      <c r="BT9" s="171"/>
      <c r="BU9" s="175">
        <v>10000</v>
      </c>
      <c r="BV9" s="175">
        <v>13000</v>
      </c>
      <c r="BW9" s="171"/>
      <c r="BX9" s="171"/>
      <c r="BY9" s="171"/>
      <c r="BZ9" s="172">
        <f t="shared" ca="1" si="14"/>
        <v>35.762119658119651</v>
      </c>
      <c r="CA9" s="173">
        <f t="shared" ca="1" si="15"/>
        <v>15.32662271062271</v>
      </c>
      <c r="CB9" s="173">
        <f t="shared" ca="1" si="16"/>
        <v>20.435496947496944</v>
      </c>
      <c r="CC9" s="174"/>
      <c r="CD9" s="174"/>
      <c r="CE9" s="174"/>
      <c r="CF9" s="166">
        <f t="shared" ca="1" si="17"/>
        <v>17.527350924641343</v>
      </c>
      <c r="CG9" s="167">
        <f t="shared" ca="1" si="18"/>
        <v>7.7899337442850412</v>
      </c>
      <c r="CH9" s="167">
        <f t="shared" ca="1" si="18"/>
        <v>9.737417180356303</v>
      </c>
      <c r="CI9" s="168"/>
      <c r="CJ9" s="168"/>
      <c r="CK9" s="168"/>
    </row>
    <row r="10" spans="1:89">
      <c r="A10" s="4"/>
      <c r="AC10" s="164" t="s">
        <v>188</v>
      </c>
      <c r="AD10" s="164">
        <v>24</v>
      </c>
      <c r="AE10" s="165">
        <v>9</v>
      </c>
      <c r="AF10" s="165">
        <v>18</v>
      </c>
      <c r="AG10" s="165"/>
      <c r="AH10" s="164"/>
      <c r="AI10" s="164"/>
      <c r="AJ10" s="523"/>
      <c r="AK10" s="166">
        <f t="shared" ca="1" si="2"/>
        <v>28.912222222222226</v>
      </c>
      <c r="AL10" s="167">
        <f t="shared" ca="1" si="3"/>
        <v>9.6374074074074088</v>
      </c>
      <c r="AM10" s="167">
        <f t="shared" ca="1" si="4"/>
        <v>19.274814814814818</v>
      </c>
      <c r="AN10" s="168"/>
      <c r="AO10" s="168"/>
      <c r="AP10" s="168"/>
      <c r="AQ10" s="169">
        <f t="shared" ca="1" si="5"/>
        <v>30.284222222222223</v>
      </c>
      <c r="AR10" s="170">
        <f ca="1">INDEX('Cap based on indoor unit SZ'!$J$6:$J$21,MATCH(AE10,'Cap based on indoor unit SZ'!$I$6:$I$21))</f>
        <v>10.463111111111111</v>
      </c>
      <c r="AS10" s="170">
        <f ca="1">INDEX('Cap based on indoor unit SZ'!$J$6:$J$21,MATCH(AF10,'Cap based on indoor unit SZ'!$I$6:$I$21))</f>
        <v>19.821111111111112</v>
      </c>
      <c r="AT10" s="171"/>
      <c r="AU10" s="171"/>
      <c r="AV10" s="171"/>
      <c r="AW10" s="169">
        <f t="shared" si="6"/>
        <v>25</v>
      </c>
      <c r="AX10" s="170">
        <v>8.4</v>
      </c>
      <c r="AY10" s="170">
        <v>16.600000000000001</v>
      </c>
      <c r="AZ10" s="171"/>
      <c r="BA10" s="171"/>
      <c r="BB10" s="171"/>
      <c r="BC10" s="172">
        <f t="shared" ca="1" si="7"/>
        <v>28.912222222222226</v>
      </c>
      <c r="BD10" s="173">
        <f t="shared" ca="1" si="8"/>
        <v>9.6374074074074088</v>
      </c>
      <c r="BE10" s="173">
        <f t="shared" ca="1" si="9"/>
        <v>19.274814814814818</v>
      </c>
      <c r="BF10" s="174"/>
      <c r="BG10" s="174"/>
      <c r="BH10" s="174"/>
      <c r="BI10" s="166">
        <f t="shared" ca="1" si="10"/>
        <v>35.762119658119651</v>
      </c>
      <c r="BJ10" s="167">
        <f t="shared" ca="1" si="11"/>
        <v>11.92070655270655</v>
      </c>
      <c r="BK10" s="167">
        <f t="shared" ca="1" si="12"/>
        <v>23.8414131054131</v>
      </c>
      <c r="BL10" s="168"/>
      <c r="BM10" s="168"/>
      <c r="BN10" s="168"/>
      <c r="BO10" s="169">
        <f t="shared" ca="1" si="13"/>
        <v>36.554841025641025</v>
      </c>
      <c r="BP10" s="170">
        <f ca="1">INDEX('Cap based on indoor unit SZ'!$V$43:$V$58,MATCH(AE10,'Cap based on indoor unit SZ'!$U$43:$U$58))</f>
        <v>11.956020512820512</v>
      </c>
      <c r="BQ10" s="170">
        <f ca="1">INDEX('Cap based on indoor unit SZ'!$V$43:$V$58,MATCH(AF10,'Cap based on indoor unit SZ'!$U$43:$U$58))</f>
        <v>24.598820512820513</v>
      </c>
      <c r="BR10" s="171"/>
      <c r="BS10" s="171"/>
      <c r="BT10" s="171"/>
      <c r="BU10" s="175">
        <v>9000</v>
      </c>
      <c r="BV10" s="175">
        <v>18000</v>
      </c>
      <c r="BW10" s="171"/>
      <c r="BX10" s="171"/>
      <c r="BY10" s="171"/>
      <c r="BZ10" s="172">
        <f t="shared" ca="1" si="14"/>
        <v>35.762119658119651</v>
      </c>
      <c r="CA10" s="173">
        <f t="shared" ca="1" si="15"/>
        <v>11.92070655270655</v>
      </c>
      <c r="CB10" s="173">
        <f t="shared" ca="1" si="16"/>
        <v>23.8414131054131</v>
      </c>
      <c r="CC10" s="174"/>
      <c r="CD10" s="174"/>
      <c r="CE10" s="174"/>
      <c r="CF10" s="166">
        <f t="shared" ca="1" si="17"/>
        <v>21.525557085213777</v>
      </c>
      <c r="CG10" s="167">
        <f t="shared" ca="1" si="18"/>
        <v>7.1751856950712591</v>
      </c>
      <c r="CH10" s="167">
        <f t="shared" ca="1" si="18"/>
        <v>14.350371390142518</v>
      </c>
      <c r="CI10" s="168"/>
      <c r="CJ10" s="168"/>
      <c r="CK10" s="168"/>
    </row>
    <row r="11" spans="1:89">
      <c r="A11" s="4"/>
      <c r="AC11" s="164" t="s">
        <v>186</v>
      </c>
      <c r="AD11" s="164">
        <v>24</v>
      </c>
      <c r="AE11" s="165">
        <v>12</v>
      </c>
      <c r="AF11" s="165">
        <v>12</v>
      </c>
      <c r="AG11" s="165"/>
      <c r="AH11" s="164"/>
      <c r="AI11" s="164"/>
      <c r="AJ11" s="523"/>
      <c r="AK11" s="166">
        <f t="shared" ca="1" si="2"/>
        <v>26.157777777777781</v>
      </c>
      <c r="AL11" s="167">
        <f t="shared" ca="1" si="3"/>
        <v>13.078888888888891</v>
      </c>
      <c r="AM11" s="167">
        <f t="shared" ca="1" si="4"/>
        <v>13.078888888888891</v>
      </c>
      <c r="AN11" s="168"/>
      <c r="AO11" s="168"/>
      <c r="AP11" s="168"/>
      <c r="AQ11" s="169">
        <f t="shared" ca="1" si="5"/>
        <v>26.157777777777781</v>
      </c>
      <c r="AR11" s="170">
        <f ca="1">INDEX('Cap based on indoor unit SZ'!$J$6:$J$21,MATCH(AE11,'Cap based on indoor unit SZ'!$I$6:$I$21))</f>
        <v>13.078888888888891</v>
      </c>
      <c r="AS11" s="170">
        <f ca="1">INDEX('Cap based on indoor unit SZ'!$J$6:$J$21,MATCH(AF11,'Cap based on indoor unit SZ'!$I$6:$I$21))</f>
        <v>13.078888888888891</v>
      </c>
      <c r="AT11" s="171"/>
      <c r="AU11" s="171"/>
      <c r="AV11" s="171"/>
      <c r="AW11" s="169">
        <f t="shared" si="6"/>
        <v>24</v>
      </c>
      <c r="AX11" s="170">
        <v>12</v>
      </c>
      <c r="AY11" s="170">
        <v>12</v>
      </c>
      <c r="AZ11" s="171"/>
      <c r="BA11" s="171"/>
      <c r="BB11" s="171"/>
      <c r="BC11" s="172">
        <f t="shared" ca="1" si="7"/>
        <v>28.912222222222226</v>
      </c>
      <c r="BD11" s="173">
        <f t="shared" ca="1" si="8"/>
        <v>14.456111111111113</v>
      </c>
      <c r="BE11" s="173">
        <f t="shared" ca="1" si="9"/>
        <v>14.456111111111113</v>
      </c>
      <c r="BF11" s="174"/>
      <c r="BG11" s="174"/>
      <c r="BH11" s="174"/>
      <c r="BI11" s="166">
        <f t="shared" ca="1" si="10"/>
        <v>29.890051282051282</v>
      </c>
      <c r="BJ11" s="167">
        <f t="shared" ca="1" si="11"/>
        <v>14.945025641025641</v>
      </c>
      <c r="BK11" s="167">
        <f t="shared" ca="1" si="12"/>
        <v>14.945025641025641</v>
      </c>
      <c r="BL11" s="168"/>
      <c r="BM11" s="168"/>
      <c r="BN11" s="168"/>
      <c r="BO11" s="169">
        <f t="shared" ca="1" si="13"/>
        <v>29.890051282051282</v>
      </c>
      <c r="BP11" s="170">
        <f ca="1">INDEX('Cap based on indoor unit SZ'!$V$43:$V$58,MATCH(AE11,'Cap based on indoor unit SZ'!$U$43:$U$58))</f>
        <v>14.945025641025641</v>
      </c>
      <c r="BQ11" s="170">
        <f ca="1">INDEX('Cap based on indoor unit SZ'!$V$43:$V$58,MATCH(AF11,'Cap based on indoor unit SZ'!$U$43:$U$58))</f>
        <v>14.945025641025641</v>
      </c>
      <c r="BR11" s="171"/>
      <c r="BS11" s="171"/>
      <c r="BT11" s="171"/>
      <c r="BU11" s="175">
        <v>13000</v>
      </c>
      <c r="BV11" s="175">
        <v>13000</v>
      </c>
      <c r="BW11" s="171"/>
      <c r="BX11" s="171"/>
      <c r="BY11" s="171"/>
      <c r="BZ11" s="172">
        <f t="shared" ca="1" si="14"/>
        <v>35.762119658119651</v>
      </c>
      <c r="CA11" s="173">
        <f t="shared" ca="1" si="15"/>
        <v>17.881059829059826</v>
      </c>
      <c r="CB11" s="173">
        <f t="shared" ca="1" si="16"/>
        <v>17.881059829059826</v>
      </c>
      <c r="CC11" s="174"/>
      <c r="CD11" s="174"/>
      <c r="CE11" s="174"/>
      <c r="CF11" s="166">
        <f t="shared" ca="1" si="17"/>
        <v>19.474834360712606</v>
      </c>
      <c r="CG11" s="167">
        <f t="shared" ca="1" si="18"/>
        <v>9.737417180356303</v>
      </c>
      <c r="CH11" s="167">
        <f t="shared" ca="1" si="18"/>
        <v>9.737417180356303</v>
      </c>
      <c r="CI11" s="168"/>
      <c r="CJ11" s="168"/>
      <c r="CK11" s="168"/>
    </row>
    <row r="12" spans="1:89">
      <c r="A12" s="4"/>
      <c r="AC12" s="164" t="s">
        <v>185</v>
      </c>
      <c r="AD12" s="164">
        <v>24</v>
      </c>
      <c r="AE12" s="165">
        <v>12</v>
      </c>
      <c r="AF12" s="165">
        <v>18</v>
      </c>
      <c r="AG12" s="165"/>
      <c r="AH12" s="164"/>
      <c r="AI12" s="164"/>
      <c r="AJ12" s="523"/>
      <c r="AK12" s="166">
        <f t="shared" ca="1" si="2"/>
        <v>28.91222222222223</v>
      </c>
      <c r="AL12" s="167">
        <f t="shared" ca="1" si="3"/>
        <v>11.564888888888891</v>
      </c>
      <c r="AM12" s="167">
        <f t="shared" ca="1" si="4"/>
        <v>17.347333333333339</v>
      </c>
      <c r="AN12" s="168"/>
      <c r="AO12" s="168"/>
      <c r="AP12" s="168"/>
      <c r="AQ12" s="169">
        <f t="shared" ca="1" si="5"/>
        <v>32.900000000000006</v>
      </c>
      <c r="AR12" s="170">
        <f ca="1">INDEX('Cap based on indoor unit SZ'!$J$6:$J$21,MATCH(AE12,'Cap based on indoor unit SZ'!$I$6:$I$21))</f>
        <v>13.078888888888891</v>
      </c>
      <c r="AS12" s="170">
        <f ca="1">INDEX('Cap based on indoor unit SZ'!$J$6:$J$21,MATCH(AF12,'Cap based on indoor unit SZ'!$I$6:$I$21))</f>
        <v>19.821111111111112</v>
      </c>
      <c r="AT12" s="171"/>
      <c r="AU12" s="171"/>
      <c r="AV12" s="171"/>
      <c r="AW12" s="169">
        <f t="shared" si="6"/>
        <v>26</v>
      </c>
      <c r="AX12" s="170">
        <v>10</v>
      </c>
      <c r="AY12" s="170">
        <v>16</v>
      </c>
      <c r="AZ12" s="171"/>
      <c r="BA12" s="171"/>
      <c r="BB12" s="171"/>
      <c r="BC12" s="172">
        <f t="shared" ca="1" si="7"/>
        <v>28.91222222222223</v>
      </c>
      <c r="BD12" s="173">
        <f t="shared" ca="1" si="8"/>
        <v>11.564888888888891</v>
      </c>
      <c r="BE12" s="173">
        <f t="shared" ca="1" si="9"/>
        <v>17.347333333333339</v>
      </c>
      <c r="BF12" s="174"/>
      <c r="BG12" s="174"/>
      <c r="BH12" s="174"/>
      <c r="BI12" s="166">
        <f t="shared" ca="1" si="10"/>
        <v>35.762119658119659</v>
      </c>
      <c r="BJ12" s="167">
        <f t="shared" ca="1" si="11"/>
        <v>14.304847863247861</v>
      </c>
      <c r="BK12" s="167">
        <f t="shared" ca="1" si="12"/>
        <v>21.457271794871794</v>
      </c>
      <c r="BL12" s="168"/>
      <c r="BM12" s="168"/>
      <c r="BN12" s="168"/>
      <c r="BO12" s="169">
        <f t="shared" ca="1" si="13"/>
        <v>39.543846153846154</v>
      </c>
      <c r="BP12" s="170">
        <f ca="1">INDEX('Cap based on indoor unit SZ'!$V$43:$V$58,MATCH(AE12,'Cap based on indoor unit SZ'!$U$43:$U$58))</f>
        <v>14.945025641025641</v>
      </c>
      <c r="BQ12" s="170">
        <f ca="1">INDEX('Cap based on indoor unit SZ'!$V$43:$V$58,MATCH(AF12,'Cap based on indoor unit SZ'!$U$43:$U$58))</f>
        <v>24.598820512820513</v>
      </c>
      <c r="BR12" s="171"/>
      <c r="BS12" s="171"/>
      <c r="BT12" s="171"/>
      <c r="BU12" s="175">
        <v>11200</v>
      </c>
      <c r="BV12" s="175">
        <v>16800</v>
      </c>
      <c r="BW12" s="171"/>
      <c r="BX12" s="171"/>
      <c r="BY12" s="171"/>
      <c r="BZ12" s="172">
        <f t="shared" ca="1" si="14"/>
        <v>35.762119658119659</v>
      </c>
      <c r="CA12" s="173">
        <f t="shared" ca="1" si="15"/>
        <v>14.304847863247861</v>
      </c>
      <c r="CB12" s="173">
        <f t="shared" ca="1" si="16"/>
        <v>21.457271794871794</v>
      </c>
      <c r="CC12" s="174"/>
      <c r="CD12" s="174"/>
      <c r="CE12" s="174"/>
      <c r="CF12" s="166">
        <f t="shared" ca="1" si="17"/>
        <v>21.52555708521378</v>
      </c>
      <c r="CG12" s="167">
        <f t="shared" ca="1" si="18"/>
        <v>8.610222834085512</v>
      </c>
      <c r="CH12" s="167">
        <f t="shared" ca="1" si="18"/>
        <v>12.915334251128268</v>
      </c>
      <c r="CI12" s="168"/>
      <c r="CJ12" s="168"/>
      <c r="CK12" s="168"/>
    </row>
    <row r="13" spans="1:89">
      <c r="A13" s="4"/>
      <c r="AC13" s="164" t="s">
        <v>237</v>
      </c>
      <c r="AD13" s="164">
        <v>24</v>
      </c>
      <c r="AE13" s="165">
        <v>18</v>
      </c>
      <c r="AF13" s="165">
        <v>18</v>
      </c>
      <c r="AG13" s="165"/>
      <c r="AH13" s="164"/>
      <c r="AI13" s="164"/>
      <c r="AJ13" s="524"/>
      <c r="AK13" s="166">
        <f t="shared" ca="1" si="2"/>
        <v>28.912222222222226</v>
      </c>
      <c r="AL13" s="167">
        <f t="shared" ca="1" si="3"/>
        <v>14.456111111111113</v>
      </c>
      <c r="AM13" s="167">
        <f t="shared" ca="1" si="4"/>
        <v>14.456111111111113</v>
      </c>
      <c r="AN13" s="167"/>
      <c r="AO13" s="168"/>
      <c r="AP13" s="168"/>
      <c r="AQ13" s="169">
        <f t="shared" ca="1" si="5"/>
        <v>39.642222222222223</v>
      </c>
      <c r="AR13" s="170">
        <f ca="1">INDEX('Cap based on indoor unit SZ'!$J$6:$J$21,MATCH(AE13,'Cap based on indoor unit SZ'!$I$6:$I$21))</f>
        <v>19.821111111111112</v>
      </c>
      <c r="AS13" s="170">
        <f ca="1">INDEX('Cap based on indoor unit SZ'!$J$6:$J$21,MATCH(AF13,'Cap based on indoor unit SZ'!$I$6:$I$21))</f>
        <v>19.821111111111112</v>
      </c>
      <c r="AT13" s="170"/>
      <c r="AU13" s="171"/>
      <c r="AV13" s="171"/>
      <c r="AW13" s="169">
        <f t="shared" si="6"/>
        <v>28</v>
      </c>
      <c r="AX13" s="170">
        <v>14</v>
      </c>
      <c r="AY13" s="170">
        <v>14</v>
      </c>
      <c r="AZ13" s="170"/>
      <c r="BA13" s="171"/>
      <c r="BB13" s="171"/>
      <c r="BC13" s="172">
        <f t="shared" ca="1" si="7"/>
        <v>28.912222222222226</v>
      </c>
      <c r="BD13" s="173">
        <f t="shared" ca="1" si="8"/>
        <v>14.456111111111113</v>
      </c>
      <c r="BE13" s="173">
        <f t="shared" ca="1" si="9"/>
        <v>14.456111111111113</v>
      </c>
      <c r="BF13" s="173"/>
      <c r="BG13" s="174"/>
      <c r="BH13" s="174"/>
      <c r="BI13" s="166">
        <f t="shared" ca="1" si="10"/>
        <v>35.762119658119651</v>
      </c>
      <c r="BJ13" s="167">
        <f t="shared" ca="1" si="11"/>
        <v>17.881059829059826</v>
      </c>
      <c r="BK13" s="167">
        <f t="shared" ca="1" si="12"/>
        <v>17.881059829059826</v>
      </c>
      <c r="BL13" s="167"/>
      <c r="BM13" s="168"/>
      <c r="BN13" s="168"/>
      <c r="BO13" s="169">
        <f t="shared" ca="1" si="13"/>
        <v>49.197641025641026</v>
      </c>
      <c r="BP13" s="170">
        <f ca="1">INDEX('Cap based on indoor unit SZ'!$V$43:$V$58,MATCH(AE13,'Cap based on indoor unit SZ'!$U$43:$U$58))</f>
        <v>24.598820512820513</v>
      </c>
      <c r="BQ13" s="170">
        <f ca="1">INDEX('Cap based on indoor unit SZ'!$V$43:$V$58,MATCH(AF13,'Cap based on indoor unit SZ'!$U$43:$U$58))</f>
        <v>24.598820512820513</v>
      </c>
      <c r="BR13" s="170"/>
      <c r="BS13" s="171"/>
      <c r="BT13" s="171"/>
      <c r="BU13" s="175">
        <v>15000</v>
      </c>
      <c r="BV13" s="175">
        <v>15000</v>
      </c>
      <c r="BW13" s="171"/>
      <c r="BX13" s="171"/>
      <c r="BY13" s="171"/>
      <c r="BZ13" s="172">
        <f t="shared" ca="1" si="14"/>
        <v>35.762119658119651</v>
      </c>
      <c r="CA13" s="173">
        <f t="shared" ca="1" si="15"/>
        <v>17.881059829059826</v>
      </c>
      <c r="CB13" s="173">
        <f t="shared" ca="1" si="16"/>
        <v>17.881059829059826</v>
      </c>
      <c r="CC13" s="173"/>
      <c r="CD13" s="174"/>
      <c r="CE13" s="174"/>
      <c r="CF13" s="166">
        <f t="shared" ca="1" si="17"/>
        <v>21.525557085213777</v>
      </c>
      <c r="CG13" s="167">
        <f t="shared" ca="1" si="18"/>
        <v>10.762778542606888</v>
      </c>
      <c r="CH13" s="167">
        <f t="shared" ca="1" si="18"/>
        <v>10.762778542606888</v>
      </c>
      <c r="CI13" s="167"/>
      <c r="CJ13" s="168"/>
      <c r="CK13" s="168"/>
    </row>
    <row r="14" spans="1:89">
      <c r="A14" s="4"/>
      <c r="AC14" s="164" t="s">
        <v>222</v>
      </c>
      <c r="AD14" s="164">
        <v>24</v>
      </c>
      <c r="AE14" s="165">
        <v>9</v>
      </c>
      <c r="AF14" s="165">
        <v>9</v>
      </c>
      <c r="AG14" s="165">
        <v>9</v>
      </c>
      <c r="AH14" s="164"/>
      <c r="AI14" s="164"/>
      <c r="AJ14" s="510">
        <v>3</v>
      </c>
      <c r="AK14" s="166">
        <f t="shared" ca="1" si="2"/>
        <v>28.912222222222226</v>
      </c>
      <c r="AL14" s="167">
        <f ca="1">IF((INDEX($AA$4:$AA$7,MATCH(INDOOR_1,$Z$4:$Z$7))*(INDEX($X$27:$X$46,MATCH($AD14,$W$27:$W$46,1))/(INDEX($AA$4:$AA$7,MATCH(INDOOR_1,$Z$4:$Z$7))+INDEX($AA$4:$AA$7,MATCH(INDOOR_2,$Z$4:$Z$7))+INDEX($AA$4:$AA$7,MATCH(INDOOR_3,$Z$4:$Z$7)))))
&gt;AR14,AR14,
(INDEX($AA$4:$AA$7,MATCH(INDOOR_1,$Z$4:$Z$7))*(INDEX($X$27:$X$46,MATCH($AD14,$W$27:$W$46,1))/(INDEX($AA$4:$AA$7,MATCH(INDOOR_1,$Z$4:$Z$7))+INDEX($AA$4:$AA$7,MATCH(INDOOR_2,$Z$4:$Z$7))+INDEX($AA$4:$AA$7,MATCH(INDOOR_3,$Z$4:$Z$7))))))</f>
        <v>9.6374074074074088</v>
      </c>
      <c r="AM14" s="167">
        <f ca="1">IF((INDEX($AA$4:$AA$7,MATCH(INDOOR_2,$Z$4:$Z$7))*(INDEX($X$27:$X$46,MATCH($AD14,$W$27:$W$46,1))/(INDEX($AA$4:$AA$7,MATCH(INDOOR_1,$Z$4:$Z$7))+INDEX($AA$4:$AA$7,MATCH(INDOOR_2,$Z$4:$Z$7))+INDEX($AA$4:$AA$7,MATCH(INDOOR_3,$Z$4:$Z$7)))))
&gt;AS14,AS14,
(INDEX($AA$4:$AA$7,MATCH(INDOOR_2,$Z$4:$Z$7))*(INDEX($X$27:$X$46,MATCH($AD14,$W$27:$W$46,1))/(INDEX($AA$4:$AA$7,MATCH(INDOOR_1,$Z$4:$Z$7))+INDEX($AA$4:$AA$7,MATCH(INDOOR_2,$Z$4:$Z$7))+INDEX($AA$4:$AA$7,MATCH(INDOOR_3,$Z$4:$Z$7))))))</f>
        <v>9.6374074074074088</v>
      </c>
      <c r="AN14" s="167">
        <f ca="1">IF((INDEX($AA$4:$AA$7,MATCH(INDOOR_3,$Z$4:$Z$7))*(INDEX($X$27:$X$46,MATCH($AD14,$W$27:$W$46,1))/(INDEX($AA$4:$AA$7,MATCH(INDOOR_1,$Z$4:$Z$7))+INDEX($AA$4:$AA$7,MATCH(INDOOR_2,$Z$4:$Z$7))+INDEX($AA$4:$AA$7,MATCH(INDOOR_3,$Z$4:$Z$7)))))
&gt;AT14,AT14,
(INDEX($AA$4:$AA$7,MATCH(INDOOR_3,$Z$4:$Z$7))*(INDEX($X$27:$X$46,MATCH($AD14,$W$27:$W$46,1))/(INDEX($AA$4:$AA$7,MATCH(INDOOR_1,$Z$4:$Z$7))+INDEX($AA$4:$AA$7,MATCH(INDOOR_2,$Z$4:$Z$7))+INDEX($AA$4:$AA$7,MATCH(INDOOR_3,$Z$4:$Z$7))))))</f>
        <v>9.6374074074074088</v>
      </c>
      <c r="AO14" s="178"/>
      <c r="AP14" s="178"/>
      <c r="AQ14" s="169">
        <f t="shared" ca="1" si="5"/>
        <v>31.389333333333333</v>
      </c>
      <c r="AR14" s="170">
        <f ca="1">INDEX('Cap based on indoor unit SZ'!$J$6:$J$21,MATCH(AE14,'Cap based on indoor unit SZ'!$I$6:$I$21))</f>
        <v>10.463111111111111</v>
      </c>
      <c r="AS14" s="170">
        <f ca="1">INDEX('Cap based on indoor unit SZ'!$J$6:$J$21,MATCH(AF14,'Cap based on indoor unit SZ'!$I$6:$I$21))</f>
        <v>10.463111111111111</v>
      </c>
      <c r="AT14" s="170">
        <f ca="1">INDEX('Cap based on indoor unit SZ'!$J$6:$J$21,MATCH(AG14,'Cap based on indoor unit SZ'!$I$6:$I$21))</f>
        <v>10.463111111111111</v>
      </c>
      <c r="AU14" s="179"/>
      <c r="AV14" s="179"/>
      <c r="AW14" s="169">
        <f t="shared" si="6"/>
        <v>27</v>
      </c>
      <c r="AX14" s="170">
        <v>9</v>
      </c>
      <c r="AY14" s="170">
        <v>9</v>
      </c>
      <c r="AZ14" s="170">
        <v>9</v>
      </c>
      <c r="BA14" s="179"/>
      <c r="BB14" s="179"/>
      <c r="BC14" s="172">
        <f t="shared" ca="1" si="7"/>
        <v>28.912222222222226</v>
      </c>
      <c r="BD14" s="173">
        <f t="shared" ref="BD14:BF18" ca="1" si="19">(INDEX($AA$4:$AA$7,MATCH(AE14,$Z$4:$Z$7))*(INDEX($X$27:$X$46,MATCH($AD14,$W$27:$W$46,1))/(INDEX($AA$4:$AA$7,MATCH($AE14,$Z$4:$Z$7))+INDEX($AA$4:$AA$7,MATCH($AF14,$Z$4:$Z$7))+INDEX($AA$4:$AA$7,MATCH($AG14,$Z$4:$Z$7)))))</f>
        <v>9.6374074074074088</v>
      </c>
      <c r="BE14" s="173">
        <f t="shared" ca="1" si="19"/>
        <v>9.6374074074074088</v>
      </c>
      <c r="BF14" s="173">
        <f t="shared" ca="1" si="19"/>
        <v>9.6374074074074088</v>
      </c>
      <c r="BG14" s="180"/>
      <c r="BH14" s="180"/>
      <c r="BI14" s="166">
        <f t="shared" ca="1" si="10"/>
        <v>35.762119658119651</v>
      </c>
      <c r="BJ14" s="167">
        <f ca="1">IF((INDEX($AA$4:$AA$7,MATCH(INDOOR_1,$Z$4:$Z$7))*(INDEX($X$118:$X$137,MATCH($AD14,$W$118:$W$137,1))/(INDEX($AA$4:$AA$7,MATCH(INDOOR_1,$Z$4:$Z$7))+INDEX($AA$4:$AA$7,MATCH(INDOOR_2,$Z$4:$Z$7))+INDEX($AA$4:$AA$7,MATCH(INDOOR_3,$Z$4:$Z$7)))))
&gt;BP14,BP14,
(INDEX($AA$4:$AA$7,MATCH(INDOOR_1,$Z$4:$Z$7))*(INDEX($X$118:$X$137,MATCH($AD14,$W$118:$W$137,1))/(INDEX($AA$4:$AA$7,MATCH(INDOOR_1,$Z$4:$Z$7))+INDEX($AA$4:$AA$7,MATCH(INDOOR_2,$Z$4:$Z$7))+INDEX($AA$4:$AA$7,MATCH(INDOOR_3,$Z$4:$Z$7))))))</f>
        <v>11.92070655270655</v>
      </c>
      <c r="BK14" s="167">
        <f ca="1">IF((INDEX($AA$4:$AA$7,MATCH(INDOOR_2,$Z$4:$Z$7))*(INDEX($X$118:$X$137,MATCH($AD14,$W$118:$W$137,1))/(INDEX($AA$4:$AA$7,MATCH(INDOOR_1,$Z$4:$Z$7))+INDEX($AA$4:$AA$7,MATCH(INDOOR_2,$Z$4:$Z$7))+INDEX($AA$4:$AA$7,MATCH(INDOOR_3,$Z$4:$Z$7)))))
&gt;BQ14,BQ14,
(INDEX($AA$4:$AA$7,MATCH(INDOOR_2,$Z$4:$Z$7))*(INDEX($X$118:$X$137,MATCH($AD14,$W$118:$W$137,1))/(INDEX($AA$4:$AA$7,MATCH(INDOOR_1,$Z$4:$Z$7))+INDEX($AA$4:$AA$7,MATCH(INDOOR_2,$Z$4:$Z$7))+INDEX($AA$4:$AA$7,MATCH(INDOOR_3,$Z$4:$Z$7))))))</f>
        <v>11.92070655270655</v>
      </c>
      <c r="BL14" s="167">
        <f ca="1">IF((INDEX($AA$4:$AA$7,MATCH(INDOOR_3,$Z$4:$Z$7))*(INDEX($X$118:$X$137,MATCH($AD14,$W$118:$W$137,1))/(INDEX($AA$4:$AA$7,MATCH(INDOOR_1,$Z$4:$Z$7))+INDEX($AA$4:$AA$7,MATCH(INDOOR_2,$Z$4:$Z$7))+INDEX($AA$4:$AA$7,MATCH(INDOOR_3,$Z$4:$Z$7)))))
&gt;BR14,BR14,
(INDEX($AA$4:$AA$7,MATCH(INDOOR_3,$Z$4:$Z$7))*(INDEX($X$118:$X$137,MATCH($AD14,$W$118:$W$137,1))/(INDEX($AA$4:$AA$7,MATCH(INDOOR_1,$Z$4:$Z$7))+INDEX($AA$4:$AA$7,MATCH(INDOOR_2,$Z$4:$Z$7))+INDEX($AA$4:$AA$7,MATCH(INDOOR_3,$Z$4:$Z$7))))))</f>
        <v>11.92070655270655</v>
      </c>
      <c r="BM14" s="178"/>
      <c r="BN14" s="178"/>
      <c r="BO14" s="169">
        <f t="shared" ca="1" si="13"/>
        <v>35.868061538461532</v>
      </c>
      <c r="BP14" s="170">
        <f ca="1">INDEX('Cap based on indoor unit SZ'!$V$43:$V$58,MATCH(AE14,'Cap based on indoor unit SZ'!$U$43:$U$58))</f>
        <v>11.956020512820512</v>
      </c>
      <c r="BQ14" s="170">
        <f ca="1">INDEX('Cap based on indoor unit SZ'!$V$43:$V$58,MATCH(AF14,'Cap based on indoor unit SZ'!$U$43:$U$58))</f>
        <v>11.956020512820512</v>
      </c>
      <c r="BR14" s="170">
        <f ca="1">INDEX('Cap based on indoor unit SZ'!$V$43:$V$58,MATCH(AG14,'Cap based on indoor unit SZ'!$U$43:$U$58))</f>
        <v>11.956020512820512</v>
      </c>
      <c r="BS14" s="179"/>
      <c r="BT14" s="179"/>
      <c r="BU14" s="175">
        <v>9500</v>
      </c>
      <c r="BV14" s="175">
        <v>9500</v>
      </c>
      <c r="BW14" s="175">
        <v>9500</v>
      </c>
      <c r="BX14" s="179"/>
      <c r="BY14" s="179"/>
      <c r="BZ14" s="172">
        <f t="shared" ca="1" si="14"/>
        <v>35.762119658119651</v>
      </c>
      <c r="CA14" s="173">
        <f ca="1">(INDEX($AA$4:$AA$7,MATCH(INDOOR_1,$Z$4:$Z$7))*(INDEX($X$118:$X$137,MATCH($AD14,$W$118:$W$137,1))/(INDEX($AA$4:$AA$7,MATCH(INDOOR_1,$Z$4:$Z$7))+INDEX($AA$4:$AA$7,MATCH(INDOOR_2,$Z$4:$Z$7))+INDEX($AA$4:$AA$7,MATCH(INDOOR_3,$Z$4:$Z$7)))))</f>
        <v>11.92070655270655</v>
      </c>
      <c r="CB14" s="173">
        <f ca="1">(INDEX($AA$4:$AA$7,MATCH(INDOOR_2,$Z$4:$Z$7))*(INDEX($X$118:$X$137,MATCH($AD14,$W$118:$W$137,1))/(INDEX($AA$4:$AA$7,MATCH(INDOOR_1,$Z$4:$Z$7))+INDEX($AA$4:$AA$7,MATCH(INDOOR_2,$Z$4:$Z$7))+INDEX($AA$4:$AA$7,MATCH(INDOOR_3,$Z$4:$Z$7)))))</f>
        <v>11.92070655270655</v>
      </c>
      <c r="CC14" s="173">
        <f ca="1">(INDEX($AA$4:$AA$7,MATCH(INDOOR_3,$Z$4:$Z$7))*(INDEX($X$118:$X$137,MATCH($AD14,$W$118:$W$137,1))/(INDEX($AA$4:$AA$7,MATCH(INDOOR_1,$Z$4:$Z$7))+INDEX($AA$4:$AA$7,MATCH(INDOOR_2,$Z$4:$Z$7))+INDEX($AA$4:$AA$7,MATCH(INDOOR_3,$Z$4:$Z$7)))))</f>
        <v>11.92070655270655</v>
      </c>
      <c r="CD14" s="180"/>
      <c r="CE14" s="180"/>
      <c r="CF14" s="166">
        <f t="shared" ca="1" si="17"/>
        <v>21.525557085213777</v>
      </c>
      <c r="CG14" s="167">
        <f t="shared" ca="1" si="18"/>
        <v>7.1751856950712591</v>
      </c>
      <c r="CH14" s="167">
        <f t="shared" ca="1" si="18"/>
        <v>7.1751856950712591</v>
      </c>
      <c r="CI14" s="167">
        <f ca="1">AN14*(INDEX($X$67:$X$86,MATCH($AD14,$W$67:$W$86,1)))</f>
        <v>7.1751856950712591</v>
      </c>
      <c r="CJ14" s="178"/>
      <c r="CK14" s="178"/>
    </row>
    <row r="15" spans="1:89">
      <c r="A15" s="4"/>
      <c r="AC15" s="164" t="s">
        <v>219</v>
      </c>
      <c r="AD15" s="164">
        <v>24</v>
      </c>
      <c r="AE15" s="165">
        <v>9</v>
      </c>
      <c r="AF15" s="165">
        <v>9</v>
      </c>
      <c r="AG15" s="165">
        <v>12</v>
      </c>
      <c r="AH15" s="164"/>
      <c r="AI15" s="164"/>
      <c r="AJ15" s="501"/>
      <c r="AK15" s="166">
        <f t="shared" ca="1" si="2"/>
        <v>28.91222222222223</v>
      </c>
      <c r="AL15" s="167">
        <f ca="1">IF((INDEX($AA$4:$AA$7,MATCH(INDOOR_1,$Z$4:$Z$7))*(INDEX($X$27:$X$46,MATCH($AD15,$W$27:$W$46,1))/(INDEX($AA$4:$AA$7,MATCH(INDOOR_1,$Z$4:$Z$7))+INDEX($AA$4:$AA$7,MATCH(INDOOR_2,$Z$4:$Z$7))+INDEX($AA$4:$AA$7,MATCH(INDOOR_3,$Z$4:$Z$7)))))
&gt;AR15,AR15,
(INDEX($AA$4:$AA$7,MATCH(INDOOR_1,$Z$4:$Z$7))*(INDEX($X$27:$X$46,MATCH($AD15,$W$27:$W$46,1))/(INDEX($AA$4:$AA$7,MATCH(INDOOR_1,$Z$4:$Z$7))+INDEX($AA$4:$AA$7,MATCH(INDOOR_2,$Z$4:$Z$7))+INDEX($AA$4:$AA$7,MATCH(INDOOR_3,$Z$4:$Z$7))))))</f>
        <v>8.6736666666666693</v>
      </c>
      <c r="AM15" s="167">
        <f ca="1">IF((INDEX($AA$4:$AA$7,MATCH(INDOOR_2,$Z$4:$Z$7))*(INDEX($X$27:$X$46,MATCH($AD15,$W$27:$W$46,1))/(INDEX($AA$4:$AA$7,MATCH(INDOOR_1,$Z$4:$Z$7))+INDEX($AA$4:$AA$7,MATCH(INDOOR_2,$Z$4:$Z$7))+INDEX($AA$4:$AA$7,MATCH(INDOOR_3,$Z$4:$Z$7)))))
&gt;AS15,AS15,
(INDEX($AA$4:$AA$7,MATCH(INDOOR_2,$Z$4:$Z$7))*(INDEX($X$27:$X$46,MATCH($AD15,$W$27:$W$46,1))/(INDEX($AA$4:$AA$7,MATCH(INDOOR_1,$Z$4:$Z$7))+INDEX($AA$4:$AA$7,MATCH(INDOOR_2,$Z$4:$Z$7))+INDEX($AA$4:$AA$7,MATCH(INDOOR_3,$Z$4:$Z$7))))))</f>
        <v>8.6736666666666693</v>
      </c>
      <c r="AN15" s="167">
        <f ca="1">IF((INDEX($AA$4:$AA$7,MATCH(INDOOR_3,$Z$4:$Z$7))*(INDEX($X$27:$X$46,MATCH($AD15,$W$27:$W$46,1))/(INDEX($AA$4:$AA$7,MATCH(INDOOR_1,$Z$4:$Z$7))+INDEX($AA$4:$AA$7,MATCH(INDOOR_2,$Z$4:$Z$7))+INDEX($AA$4:$AA$7,MATCH(INDOOR_3,$Z$4:$Z$7)))))
&gt;AT15,AT15,
(INDEX($AA$4:$AA$7,MATCH(INDOOR_3,$Z$4:$Z$7))*(INDEX($X$27:$X$46,MATCH($AD15,$W$27:$W$46,1))/(INDEX($AA$4:$AA$7,MATCH(INDOOR_1,$Z$4:$Z$7))+INDEX($AA$4:$AA$7,MATCH(INDOOR_2,$Z$4:$Z$7))+INDEX($AA$4:$AA$7,MATCH(INDOOR_3,$Z$4:$Z$7))))))</f>
        <v>11.564888888888891</v>
      </c>
      <c r="AO15" s="178"/>
      <c r="AP15" s="178"/>
      <c r="AQ15" s="169">
        <f t="shared" ca="1" si="5"/>
        <v>34.005111111111113</v>
      </c>
      <c r="AR15" s="170">
        <f ca="1">INDEX('Cap based on indoor unit SZ'!$J$6:$J$21,MATCH(AE15,'Cap based on indoor unit SZ'!$I$6:$I$21))</f>
        <v>10.463111111111111</v>
      </c>
      <c r="AS15" s="170">
        <f ca="1">INDEX('Cap based on indoor unit SZ'!$J$6:$J$21,MATCH(AF15,'Cap based on indoor unit SZ'!$I$6:$I$21))</f>
        <v>10.463111111111111</v>
      </c>
      <c r="AT15" s="170">
        <f ca="1">INDEX('Cap based on indoor unit SZ'!$J$6:$J$21,MATCH(AG15,'Cap based on indoor unit SZ'!$I$6:$I$21))</f>
        <v>13.078888888888891</v>
      </c>
      <c r="AU15" s="179"/>
      <c r="AV15" s="179"/>
      <c r="AW15" s="169">
        <f t="shared" si="6"/>
        <v>29.000999999999998</v>
      </c>
      <c r="AX15" s="170">
        <v>8.6669999999999998</v>
      </c>
      <c r="AY15" s="170">
        <v>8.6669999999999998</v>
      </c>
      <c r="AZ15" s="170">
        <v>11.667</v>
      </c>
      <c r="BA15" s="179"/>
      <c r="BB15" s="179"/>
      <c r="BC15" s="172">
        <f t="shared" ca="1" si="7"/>
        <v>28.91222222222223</v>
      </c>
      <c r="BD15" s="173">
        <f t="shared" ca="1" si="19"/>
        <v>8.6736666666666693</v>
      </c>
      <c r="BE15" s="173">
        <f t="shared" ca="1" si="19"/>
        <v>8.6736666666666693</v>
      </c>
      <c r="BF15" s="173">
        <f t="shared" ca="1" si="19"/>
        <v>11.564888888888891</v>
      </c>
      <c r="BG15" s="180"/>
      <c r="BH15" s="180"/>
      <c r="BI15" s="166">
        <f t="shared" ca="1" si="10"/>
        <v>35.762119658119659</v>
      </c>
      <c r="BJ15" s="167">
        <f ca="1">IF((INDEX($AA$4:$AA$7,MATCH(INDOOR_1,$Z$4:$Z$7))*(INDEX($X$118:$X$137,MATCH($AD15,$W$118:$W$137,1))/(INDEX($AA$4:$AA$7,MATCH(INDOOR_1,$Z$4:$Z$7))+INDEX($AA$4:$AA$7,MATCH(INDOOR_2,$Z$4:$Z$7))+INDEX($AA$4:$AA$7,MATCH(INDOOR_3,$Z$4:$Z$7)))))
&gt;BP15,BP15,
(INDEX($AA$4:$AA$7,MATCH(INDOOR_1,$Z$4:$Z$7))*(INDEX($X$118:$X$137,MATCH($AD15,$W$118:$W$137,1))/(INDEX($AA$4:$AA$7,MATCH(INDOOR_1,$Z$4:$Z$7))+INDEX($AA$4:$AA$7,MATCH(INDOOR_2,$Z$4:$Z$7))+INDEX($AA$4:$AA$7,MATCH(INDOOR_3,$Z$4:$Z$7))))))</f>
        <v>10.728635897435897</v>
      </c>
      <c r="BK15" s="167">
        <f ca="1">IF((INDEX($AA$4:$AA$7,MATCH(INDOOR_2,$Z$4:$Z$7))*(INDEX($X$118:$X$137,MATCH($AD15,$W$118:$W$137,1))/(INDEX($AA$4:$AA$7,MATCH(INDOOR_1,$Z$4:$Z$7))+INDEX($AA$4:$AA$7,MATCH(INDOOR_2,$Z$4:$Z$7))+INDEX($AA$4:$AA$7,MATCH(INDOOR_3,$Z$4:$Z$7)))))
&gt;BQ15,BQ15,
(INDEX($AA$4:$AA$7,MATCH(INDOOR_2,$Z$4:$Z$7))*(INDEX($X$118:$X$137,MATCH($AD15,$W$118:$W$137,1))/(INDEX($AA$4:$AA$7,MATCH(INDOOR_1,$Z$4:$Z$7))+INDEX($AA$4:$AA$7,MATCH(INDOOR_2,$Z$4:$Z$7))+INDEX($AA$4:$AA$7,MATCH(INDOOR_3,$Z$4:$Z$7))))))</f>
        <v>10.728635897435897</v>
      </c>
      <c r="BL15" s="167">
        <f ca="1">IF((INDEX($AA$4:$AA$7,MATCH(INDOOR_3,$Z$4:$Z$7))*(INDEX($X$118:$X$137,MATCH($AD15,$W$118:$W$137,1))/(INDEX($AA$4:$AA$7,MATCH(INDOOR_1,$Z$4:$Z$7))+INDEX($AA$4:$AA$7,MATCH(INDOOR_2,$Z$4:$Z$7))+INDEX($AA$4:$AA$7,MATCH(INDOOR_3,$Z$4:$Z$7)))))
&gt;BR15,BR15,
(INDEX($AA$4:$AA$7,MATCH(INDOOR_3,$Z$4:$Z$7))*(INDEX($X$118:$X$137,MATCH($AD15,$W$118:$W$137,1))/(INDEX($AA$4:$AA$7,MATCH(INDOOR_1,$Z$4:$Z$7))+INDEX($AA$4:$AA$7,MATCH(INDOOR_2,$Z$4:$Z$7))+INDEX($AA$4:$AA$7,MATCH(INDOOR_3,$Z$4:$Z$7))))))</f>
        <v>14.304847863247861</v>
      </c>
      <c r="BM15" s="178"/>
      <c r="BN15" s="178"/>
      <c r="BO15" s="169">
        <f t="shared" ca="1" si="13"/>
        <v>38.857066666666668</v>
      </c>
      <c r="BP15" s="170">
        <f ca="1">INDEX('Cap based on indoor unit SZ'!$V$43:$V$58,MATCH(AE15,'Cap based on indoor unit SZ'!$U$43:$U$58))</f>
        <v>11.956020512820512</v>
      </c>
      <c r="BQ15" s="170">
        <f ca="1">INDEX('Cap based on indoor unit SZ'!$V$43:$V$58,MATCH(AF15,'Cap based on indoor unit SZ'!$U$43:$U$58))</f>
        <v>11.956020512820512</v>
      </c>
      <c r="BR15" s="170">
        <f ca="1">INDEX('Cap based on indoor unit SZ'!$V$43:$V$58,MATCH(AG15,'Cap based on indoor unit SZ'!$U$43:$U$58))</f>
        <v>14.945025641025641</v>
      </c>
      <c r="BS15" s="179"/>
      <c r="BT15" s="179"/>
      <c r="BU15" s="175">
        <v>9500</v>
      </c>
      <c r="BV15" s="175">
        <v>9500</v>
      </c>
      <c r="BW15" s="175">
        <v>12000</v>
      </c>
      <c r="BX15" s="179"/>
      <c r="BY15" s="179"/>
      <c r="BZ15" s="172">
        <f t="shared" ca="1" si="14"/>
        <v>35.762119658119659</v>
      </c>
      <c r="CA15" s="173">
        <f ca="1">(INDEX($AA$4:$AA$7,MATCH(INDOOR_1,$Z$4:$Z$7))*(INDEX($X$118:$X$137,MATCH($AD15,$W$118:$W$137,1))/(INDEX($AA$4:$AA$7,MATCH(INDOOR_1,$Z$4:$Z$7))+INDEX($AA$4:$AA$7,MATCH(INDOOR_2,$Z$4:$Z$7))+INDEX($AA$4:$AA$7,MATCH(INDOOR_3,$Z$4:$Z$7)))))</f>
        <v>10.728635897435897</v>
      </c>
      <c r="CB15" s="173">
        <f ca="1">(INDEX($AA$4:$AA$7,MATCH(INDOOR_2,$Z$4:$Z$7))*(INDEX($X$118:$X$137,MATCH($AD15,$W$118:$W$137,1))/(INDEX($AA$4:$AA$7,MATCH(INDOOR_1,$Z$4:$Z$7))+INDEX($AA$4:$AA$7,MATCH(INDOOR_2,$Z$4:$Z$7))+INDEX($AA$4:$AA$7,MATCH(INDOOR_3,$Z$4:$Z$7)))))</f>
        <v>10.728635897435897</v>
      </c>
      <c r="CC15" s="173">
        <f ca="1">(INDEX($AA$4:$AA$7,MATCH(INDOOR_3,$Z$4:$Z$7))*(INDEX($X$118:$X$137,MATCH($AD15,$W$118:$W$137,1))/(INDEX($AA$4:$AA$7,MATCH(INDOOR_1,$Z$4:$Z$7))+INDEX($AA$4:$AA$7,MATCH(INDOOR_2,$Z$4:$Z$7))+INDEX($AA$4:$AA$7,MATCH(INDOOR_3,$Z$4:$Z$7)))))</f>
        <v>14.304847863247861</v>
      </c>
      <c r="CD15" s="180"/>
      <c r="CE15" s="180"/>
      <c r="CF15" s="166">
        <f t="shared" ca="1" si="17"/>
        <v>21.52555708521378</v>
      </c>
      <c r="CG15" s="167">
        <f t="shared" ca="1" si="18"/>
        <v>6.457667125564134</v>
      </c>
      <c r="CH15" s="167">
        <f t="shared" ca="1" si="18"/>
        <v>6.457667125564134</v>
      </c>
      <c r="CI15" s="167">
        <f ca="1">AN15*(INDEX($X$67:$X$86,MATCH($AD15,$W$67:$W$86,1)))</f>
        <v>8.610222834085512</v>
      </c>
      <c r="CJ15" s="178"/>
      <c r="CK15" s="178"/>
    </row>
    <row r="16" spans="1:89">
      <c r="A16" s="4"/>
      <c r="AC16" s="164" t="s">
        <v>178</v>
      </c>
      <c r="AD16" s="164">
        <v>24</v>
      </c>
      <c r="AE16" s="165">
        <v>9</v>
      </c>
      <c r="AF16" s="165">
        <v>9</v>
      </c>
      <c r="AG16" s="165">
        <v>18</v>
      </c>
      <c r="AH16" s="164"/>
      <c r="AI16" s="164"/>
      <c r="AJ16" s="501"/>
      <c r="AK16" s="166">
        <f t="shared" ca="1" si="2"/>
        <v>28.912222222222226</v>
      </c>
      <c r="AL16" s="167">
        <f ca="1">IF((INDEX($AA$4:$AA$7,MATCH(INDOOR_1,$Z$4:$Z$7))*(INDEX($X$27:$X$46,MATCH($AD16,$W$27:$W$46,1))/(INDEX($AA$4:$AA$7,MATCH(INDOOR_1,$Z$4:$Z$7))+INDEX($AA$4:$AA$7,MATCH(INDOOR_2,$Z$4:$Z$7))+INDEX($AA$4:$AA$7,MATCH(INDOOR_3,$Z$4:$Z$7)))))
&gt;AR16,AR16,
(INDEX($AA$4:$AA$7,MATCH(INDOOR_1,$Z$4:$Z$7))*(INDEX($X$27:$X$46,MATCH($AD16,$W$27:$W$46,1))/(INDEX($AA$4:$AA$7,MATCH(INDOOR_1,$Z$4:$Z$7))+INDEX($AA$4:$AA$7,MATCH(INDOOR_2,$Z$4:$Z$7))+INDEX($AA$4:$AA$7,MATCH(INDOOR_3,$Z$4:$Z$7))))))</f>
        <v>7.2280555555555566</v>
      </c>
      <c r="AM16" s="167">
        <f ca="1">IF((INDEX($AA$4:$AA$7,MATCH(INDOOR_2,$Z$4:$Z$7))*(INDEX($X$27:$X$46,MATCH($AD16,$W$27:$W$46,1))/(INDEX($AA$4:$AA$7,MATCH(INDOOR_1,$Z$4:$Z$7))+INDEX($AA$4:$AA$7,MATCH(INDOOR_2,$Z$4:$Z$7))+INDEX($AA$4:$AA$7,MATCH(INDOOR_3,$Z$4:$Z$7)))))
&gt;AS16,AS16,
(INDEX($AA$4:$AA$7,MATCH(INDOOR_2,$Z$4:$Z$7))*(INDEX($X$27:$X$46,MATCH($AD16,$W$27:$W$46,1))/(INDEX($AA$4:$AA$7,MATCH(INDOOR_1,$Z$4:$Z$7))+INDEX($AA$4:$AA$7,MATCH(INDOOR_2,$Z$4:$Z$7))+INDEX($AA$4:$AA$7,MATCH(INDOOR_3,$Z$4:$Z$7))))))</f>
        <v>7.2280555555555566</v>
      </c>
      <c r="AN16" s="167">
        <f ca="1">IF((INDEX($AA$4:$AA$7,MATCH(INDOOR_3,$Z$4:$Z$7))*(INDEX($X$27:$X$46,MATCH($AD16,$W$27:$W$46,1))/(INDEX($AA$4:$AA$7,MATCH(INDOOR_1,$Z$4:$Z$7))+INDEX($AA$4:$AA$7,MATCH(INDOOR_2,$Z$4:$Z$7))+INDEX($AA$4:$AA$7,MATCH(INDOOR_3,$Z$4:$Z$7)))))
&gt;AT16,AT16,
(INDEX($AA$4:$AA$7,MATCH(INDOOR_3,$Z$4:$Z$7))*(INDEX($X$27:$X$46,MATCH($AD16,$W$27:$W$46,1))/(INDEX($AA$4:$AA$7,MATCH(INDOOR_1,$Z$4:$Z$7))+INDEX($AA$4:$AA$7,MATCH(INDOOR_2,$Z$4:$Z$7))+INDEX($AA$4:$AA$7,MATCH(INDOOR_3,$Z$4:$Z$7))))))</f>
        <v>14.456111111111113</v>
      </c>
      <c r="AO16" s="178"/>
      <c r="AP16" s="178"/>
      <c r="AQ16" s="169">
        <f t="shared" ca="1" si="5"/>
        <v>40.74733333333333</v>
      </c>
      <c r="AR16" s="170">
        <f ca="1">INDEX('Cap based on indoor unit SZ'!$J$6:$J$21,MATCH(AE16,'Cap based on indoor unit SZ'!$I$6:$I$21))</f>
        <v>10.463111111111111</v>
      </c>
      <c r="AS16" s="170">
        <f ca="1">INDEX('Cap based on indoor unit SZ'!$J$6:$J$21,MATCH(AF16,'Cap based on indoor unit SZ'!$I$6:$I$21))</f>
        <v>10.463111111111111</v>
      </c>
      <c r="AT16" s="170">
        <f ca="1">INDEX('Cap based on indoor unit SZ'!$J$6:$J$21,MATCH(AG16,'Cap based on indoor unit SZ'!$I$6:$I$21))</f>
        <v>19.821111111111112</v>
      </c>
      <c r="AU16" s="179"/>
      <c r="AV16" s="179"/>
      <c r="AW16" s="169">
        <f t="shared" si="6"/>
        <v>29.999000000000002</v>
      </c>
      <c r="AX16" s="170">
        <v>8.3330000000000002</v>
      </c>
      <c r="AY16" s="170">
        <v>8.3330000000000002</v>
      </c>
      <c r="AZ16" s="170">
        <v>13.333</v>
      </c>
      <c r="BA16" s="179"/>
      <c r="BB16" s="179"/>
      <c r="BC16" s="172">
        <f t="shared" ca="1" si="7"/>
        <v>28.912222222222226</v>
      </c>
      <c r="BD16" s="173">
        <f t="shared" ca="1" si="19"/>
        <v>7.2280555555555566</v>
      </c>
      <c r="BE16" s="173">
        <f t="shared" ca="1" si="19"/>
        <v>7.2280555555555566</v>
      </c>
      <c r="BF16" s="173">
        <f t="shared" ca="1" si="19"/>
        <v>14.456111111111113</v>
      </c>
      <c r="BG16" s="180"/>
      <c r="BH16" s="180"/>
      <c r="BI16" s="166">
        <f t="shared" ca="1" si="10"/>
        <v>35.762119658119651</v>
      </c>
      <c r="BJ16" s="167">
        <f ca="1">IF((INDEX($AA$4:$AA$7,MATCH(INDOOR_1,$Z$4:$Z$7))*(INDEX($X$118:$X$137,MATCH($AD16,$W$118:$W$137,1))/(INDEX($AA$4:$AA$7,MATCH(INDOOR_1,$Z$4:$Z$7))+INDEX($AA$4:$AA$7,MATCH(INDOOR_2,$Z$4:$Z$7))+INDEX($AA$4:$AA$7,MATCH(INDOOR_3,$Z$4:$Z$7)))))
&gt;BP16,BP16,
(INDEX($AA$4:$AA$7,MATCH(INDOOR_1,$Z$4:$Z$7))*(INDEX($X$118:$X$137,MATCH($AD16,$W$118:$W$137,1))/(INDEX($AA$4:$AA$7,MATCH(INDOOR_1,$Z$4:$Z$7))+INDEX($AA$4:$AA$7,MATCH(INDOOR_2,$Z$4:$Z$7))+INDEX($AA$4:$AA$7,MATCH(INDOOR_3,$Z$4:$Z$7))))))</f>
        <v>8.9405299145299129</v>
      </c>
      <c r="BK16" s="167">
        <f ca="1">IF((INDEX($AA$4:$AA$7,MATCH(INDOOR_2,$Z$4:$Z$7))*(INDEX($X$118:$X$137,MATCH($AD16,$W$118:$W$137,1))/(INDEX($AA$4:$AA$7,MATCH(INDOOR_1,$Z$4:$Z$7))+INDEX($AA$4:$AA$7,MATCH(INDOOR_2,$Z$4:$Z$7))+INDEX($AA$4:$AA$7,MATCH(INDOOR_3,$Z$4:$Z$7)))))
&gt;BQ16,BQ16,
(INDEX($AA$4:$AA$7,MATCH(INDOOR_2,$Z$4:$Z$7))*(INDEX($X$118:$X$137,MATCH($AD16,$W$118:$W$137,1))/(INDEX($AA$4:$AA$7,MATCH(INDOOR_1,$Z$4:$Z$7))+INDEX($AA$4:$AA$7,MATCH(INDOOR_2,$Z$4:$Z$7))+INDEX($AA$4:$AA$7,MATCH(INDOOR_3,$Z$4:$Z$7))))))</f>
        <v>8.9405299145299129</v>
      </c>
      <c r="BL16" s="167">
        <f ca="1">IF((INDEX($AA$4:$AA$7,MATCH(INDOOR_3,$Z$4:$Z$7))*(INDEX($X$118:$X$137,MATCH($AD16,$W$118:$W$137,1))/(INDEX($AA$4:$AA$7,MATCH(INDOOR_1,$Z$4:$Z$7))+INDEX($AA$4:$AA$7,MATCH(INDOOR_2,$Z$4:$Z$7))+INDEX($AA$4:$AA$7,MATCH(INDOOR_3,$Z$4:$Z$7)))))
&gt;BR16,BR16,
(INDEX($AA$4:$AA$7,MATCH(INDOOR_3,$Z$4:$Z$7))*(INDEX($X$118:$X$137,MATCH($AD16,$W$118:$W$137,1))/(INDEX($AA$4:$AA$7,MATCH(INDOOR_1,$Z$4:$Z$7))+INDEX($AA$4:$AA$7,MATCH(INDOOR_2,$Z$4:$Z$7))+INDEX($AA$4:$AA$7,MATCH(INDOOR_3,$Z$4:$Z$7))))))</f>
        <v>17.881059829059826</v>
      </c>
      <c r="BM16" s="178"/>
      <c r="BN16" s="178"/>
      <c r="BO16" s="169">
        <f t="shared" ca="1" si="13"/>
        <v>48.51086153846154</v>
      </c>
      <c r="BP16" s="170">
        <f ca="1">INDEX('Cap based on indoor unit SZ'!$V$43:$V$58,MATCH(AE16,'Cap based on indoor unit SZ'!$U$43:$U$58))</f>
        <v>11.956020512820512</v>
      </c>
      <c r="BQ16" s="170">
        <f ca="1">INDEX('Cap based on indoor unit SZ'!$V$43:$V$58,MATCH(AF16,'Cap based on indoor unit SZ'!$U$43:$U$58))</f>
        <v>11.956020512820512</v>
      </c>
      <c r="BR16" s="170">
        <f ca="1">INDEX('Cap based on indoor unit SZ'!$V$43:$V$58,MATCH(AG16,'Cap based on indoor unit SZ'!$U$43:$U$58))</f>
        <v>24.598820512820513</v>
      </c>
      <c r="BS16" s="179"/>
      <c r="BT16" s="179"/>
      <c r="BU16" s="175">
        <v>9000</v>
      </c>
      <c r="BV16" s="175">
        <v>9000</v>
      </c>
      <c r="BW16" s="175">
        <v>14000</v>
      </c>
      <c r="BX16" s="179"/>
      <c r="BY16" s="179"/>
      <c r="BZ16" s="172">
        <f t="shared" ca="1" si="14"/>
        <v>35.762119658119651</v>
      </c>
      <c r="CA16" s="173">
        <f ca="1">(INDEX($AA$4:$AA$7,MATCH(INDOOR_1,$Z$4:$Z$7))*(INDEX($X$118:$X$137,MATCH($AD16,$W$118:$W$137,1))/(INDEX($AA$4:$AA$7,MATCH(INDOOR_1,$Z$4:$Z$7))+INDEX($AA$4:$AA$7,MATCH(INDOOR_2,$Z$4:$Z$7))+INDEX($AA$4:$AA$7,MATCH(INDOOR_3,$Z$4:$Z$7)))))</f>
        <v>8.9405299145299129</v>
      </c>
      <c r="CB16" s="173">
        <f ca="1">(INDEX($AA$4:$AA$7,MATCH(INDOOR_2,$Z$4:$Z$7))*(INDEX($X$118:$X$137,MATCH($AD16,$W$118:$W$137,1))/(INDEX($AA$4:$AA$7,MATCH(INDOOR_1,$Z$4:$Z$7))+INDEX($AA$4:$AA$7,MATCH(INDOOR_2,$Z$4:$Z$7))+INDEX($AA$4:$AA$7,MATCH(INDOOR_3,$Z$4:$Z$7)))))</f>
        <v>8.9405299145299129</v>
      </c>
      <c r="CC16" s="173">
        <f ca="1">(INDEX($AA$4:$AA$7,MATCH(INDOOR_3,$Z$4:$Z$7))*(INDEX($X$118:$X$137,MATCH($AD16,$W$118:$W$137,1))/(INDEX($AA$4:$AA$7,MATCH(INDOOR_1,$Z$4:$Z$7))+INDEX($AA$4:$AA$7,MATCH(INDOOR_2,$Z$4:$Z$7))+INDEX($AA$4:$AA$7,MATCH(INDOOR_3,$Z$4:$Z$7)))))</f>
        <v>17.881059829059826</v>
      </c>
      <c r="CD16" s="180"/>
      <c r="CE16" s="180"/>
      <c r="CF16" s="166">
        <f t="shared" ca="1" si="17"/>
        <v>21.525557085213777</v>
      </c>
      <c r="CG16" s="167">
        <f t="shared" ca="1" si="18"/>
        <v>5.3813892713034441</v>
      </c>
      <c r="CH16" s="167">
        <f t="shared" ca="1" si="18"/>
        <v>5.3813892713034441</v>
      </c>
      <c r="CI16" s="167">
        <f ca="1">AN16*(INDEX($X$67:$X$86,MATCH($AD16,$W$67:$W$86,1)))</f>
        <v>10.762778542606888</v>
      </c>
      <c r="CJ16" s="178"/>
      <c r="CK16" s="178"/>
    </row>
    <row r="17" spans="1:89">
      <c r="A17" s="4"/>
      <c r="AC17" s="164" t="s">
        <v>176</v>
      </c>
      <c r="AD17" s="164">
        <v>24</v>
      </c>
      <c r="AE17" s="165">
        <v>9</v>
      </c>
      <c r="AF17" s="165">
        <v>12</v>
      </c>
      <c r="AG17" s="165">
        <v>12</v>
      </c>
      <c r="AH17" s="164"/>
      <c r="AI17" s="164"/>
      <c r="AJ17" s="501"/>
      <c r="AK17" s="166">
        <f t="shared" ca="1" si="2"/>
        <v>28.91222222222223</v>
      </c>
      <c r="AL17" s="167">
        <f ca="1">IF((INDEX($AA$4:$AA$7,MATCH(INDOOR_1,$Z$4:$Z$7))*(INDEX($X$27:$X$46,MATCH($AD17,$W$27:$W$46,1))/(INDEX($AA$4:$AA$7,MATCH(INDOOR_1,$Z$4:$Z$7))+INDEX($AA$4:$AA$7,MATCH(INDOOR_2,$Z$4:$Z$7))+INDEX($AA$4:$AA$7,MATCH(INDOOR_3,$Z$4:$Z$7)))))
&gt;AR17,AR17,
(INDEX($AA$4:$AA$7,MATCH(INDOOR_1,$Z$4:$Z$7))*(INDEX($X$27:$X$46,MATCH($AD17,$W$27:$W$46,1))/(INDEX($AA$4:$AA$7,MATCH(INDOOR_1,$Z$4:$Z$7))+INDEX($AA$4:$AA$7,MATCH(INDOOR_2,$Z$4:$Z$7))+INDEX($AA$4:$AA$7,MATCH(INDOOR_3,$Z$4:$Z$7))))))</f>
        <v>7.8851515151515175</v>
      </c>
      <c r="AM17" s="167">
        <f ca="1">IF((INDEX($AA$4:$AA$7,MATCH(INDOOR_2,$Z$4:$Z$7))*(INDEX($X$27:$X$46,MATCH($AD17,$W$27:$W$46,1))/(INDEX($AA$4:$AA$7,MATCH(INDOOR_1,$Z$4:$Z$7))+INDEX($AA$4:$AA$7,MATCH(INDOOR_2,$Z$4:$Z$7))+INDEX($AA$4:$AA$7,MATCH(INDOOR_3,$Z$4:$Z$7)))))
&gt;AS17,AS17,
(INDEX($AA$4:$AA$7,MATCH(INDOOR_2,$Z$4:$Z$7))*(INDEX($X$27:$X$46,MATCH($AD17,$W$27:$W$46,1))/(INDEX($AA$4:$AA$7,MATCH(INDOOR_1,$Z$4:$Z$7))+INDEX($AA$4:$AA$7,MATCH(INDOOR_2,$Z$4:$Z$7))+INDEX($AA$4:$AA$7,MATCH(INDOOR_3,$Z$4:$Z$7))))))</f>
        <v>10.513535353535357</v>
      </c>
      <c r="AN17" s="167">
        <f ca="1">IF((INDEX($AA$4:$AA$7,MATCH(INDOOR_3,$Z$4:$Z$7))*(INDEX($X$27:$X$46,MATCH($AD17,$W$27:$W$46,1))/(INDEX($AA$4:$AA$7,MATCH(INDOOR_1,$Z$4:$Z$7))+INDEX($AA$4:$AA$7,MATCH(INDOOR_2,$Z$4:$Z$7))+INDEX($AA$4:$AA$7,MATCH(INDOOR_3,$Z$4:$Z$7)))))
&gt;AT17,AT17,
(INDEX($AA$4:$AA$7,MATCH(INDOOR_3,$Z$4:$Z$7))*(INDEX($X$27:$X$46,MATCH($AD17,$W$27:$W$46,1))/(INDEX($AA$4:$AA$7,MATCH(INDOOR_1,$Z$4:$Z$7))+INDEX($AA$4:$AA$7,MATCH(INDOOR_2,$Z$4:$Z$7))+INDEX($AA$4:$AA$7,MATCH(INDOOR_3,$Z$4:$Z$7))))))</f>
        <v>10.513535353535357</v>
      </c>
      <c r="AO17" s="178"/>
      <c r="AP17" s="178"/>
      <c r="AQ17" s="169">
        <f t="shared" ca="1" si="5"/>
        <v>36.620888888888892</v>
      </c>
      <c r="AR17" s="170">
        <f ca="1">INDEX('Cap based on indoor unit SZ'!$J$6:$J$21,MATCH(AE17,'Cap based on indoor unit SZ'!$I$6:$I$21))</f>
        <v>10.463111111111111</v>
      </c>
      <c r="AS17" s="170">
        <f ca="1">INDEX('Cap based on indoor unit SZ'!$J$6:$J$21,MATCH(AF17,'Cap based on indoor unit SZ'!$I$6:$I$21))</f>
        <v>13.078888888888891</v>
      </c>
      <c r="AT17" s="170">
        <f ca="1">INDEX('Cap based on indoor unit SZ'!$J$6:$J$21,MATCH(AG17,'Cap based on indoor unit SZ'!$I$6:$I$21))</f>
        <v>13.078888888888891</v>
      </c>
      <c r="AU17" s="179"/>
      <c r="AV17" s="179"/>
      <c r="AW17" s="169">
        <f t="shared" si="6"/>
        <v>28.5</v>
      </c>
      <c r="AX17" s="170">
        <v>8.5</v>
      </c>
      <c r="AY17" s="170">
        <v>10</v>
      </c>
      <c r="AZ17" s="170">
        <v>10</v>
      </c>
      <c r="BA17" s="179"/>
      <c r="BB17" s="179"/>
      <c r="BC17" s="172">
        <f t="shared" ca="1" si="7"/>
        <v>28.91222222222223</v>
      </c>
      <c r="BD17" s="173">
        <f t="shared" ca="1" si="19"/>
        <v>7.8851515151515175</v>
      </c>
      <c r="BE17" s="173">
        <f t="shared" ca="1" si="19"/>
        <v>10.513535353535357</v>
      </c>
      <c r="BF17" s="173">
        <f t="shared" ca="1" si="19"/>
        <v>10.513535353535357</v>
      </c>
      <c r="BG17" s="180"/>
      <c r="BH17" s="180"/>
      <c r="BI17" s="166">
        <f t="shared" ca="1" si="10"/>
        <v>35.762119658119659</v>
      </c>
      <c r="BJ17" s="167">
        <f ca="1">IF((INDEX($AA$4:$AA$7,MATCH(INDOOR_1,$Z$4:$Z$7))*(INDEX($X$118:$X$137,MATCH($AD17,$W$118:$W$137,1))/(INDEX($AA$4:$AA$7,MATCH(INDOOR_1,$Z$4:$Z$7))+INDEX($AA$4:$AA$7,MATCH(INDOOR_2,$Z$4:$Z$7))+INDEX($AA$4:$AA$7,MATCH(INDOOR_3,$Z$4:$Z$7)))))
&gt;BP17,BP17,
(INDEX($AA$4:$AA$7,MATCH(INDOOR_1,$Z$4:$Z$7))*(INDEX($X$118:$X$137,MATCH($AD17,$W$118:$W$137,1))/(INDEX($AA$4:$AA$7,MATCH(INDOOR_1,$Z$4:$Z$7))+INDEX($AA$4:$AA$7,MATCH(INDOOR_2,$Z$4:$Z$7))+INDEX($AA$4:$AA$7,MATCH(INDOOR_3,$Z$4:$Z$7))))))</f>
        <v>9.7533053613053617</v>
      </c>
      <c r="BK17" s="167">
        <f ca="1">IF((INDEX($AA$4:$AA$7,MATCH(INDOOR_2,$Z$4:$Z$7))*(INDEX($X$118:$X$137,MATCH($AD17,$W$118:$W$137,1))/(INDEX($AA$4:$AA$7,MATCH(INDOOR_1,$Z$4:$Z$7))+INDEX($AA$4:$AA$7,MATCH(INDOOR_2,$Z$4:$Z$7))+INDEX($AA$4:$AA$7,MATCH(INDOOR_3,$Z$4:$Z$7)))))
&gt;BQ17,BQ17,
(INDEX($AA$4:$AA$7,MATCH(INDOOR_2,$Z$4:$Z$7))*(INDEX($X$118:$X$137,MATCH($AD17,$W$118:$W$137,1))/(INDEX($AA$4:$AA$7,MATCH(INDOOR_1,$Z$4:$Z$7))+INDEX($AA$4:$AA$7,MATCH(INDOOR_2,$Z$4:$Z$7))+INDEX($AA$4:$AA$7,MATCH(INDOOR_3,$Z$4:$Z$7))))))</f>
        <v>13.004407148407148</v>
      </c>
      <c r="BL17" s="167">
        <f ca="1">IF((INDEX($AA$4:$AA$7,MATCH(INDOOR_3,$Z$4:$Z$7))*(INDEX($X$118:$X$137,MATCH($AD17,$W$118:$W$137,1))/(INDEX($AA$4:$AA$7,MATCH(INDOOR_1,$Z$4:$Z$7))+INDEX($AA$4:$AA$7,MATCH(INDOOR_2,$Z$4:$Z$7))+INDEX($AA$4:$AA$7,MATCH(INDOOR_3,$Z$4:$Z$7)))))
&gt;BR17,BR17,
(INDEX($AA$4:$AA$7,MATCH(INDOOR_3,$Z$4:$Z$7))*(INDEX($X$118:$X$137,MATCH($AD17,$W$118:$W$137,1))/(INDEX($AA$4:$AA$7,MATCH(INDOOR_1,$Z$4:$Z$7))+INDEX($AA$4:$AA$7,MATCH(INDOOR_2,$Z$4:$Z$7))+INDEX($AA$4:$AA$7,MATCH(INDOOR_3,$Z$4:$Z$7))))))</f>
        <v>13.004407148407148</v>
      </c>
      <c r="BM17" s="178"/>
      <c r="BN17" s="178"/>
      <c r="BO17" s="169">
        <f t="shared" ca="1" si="13"/>
        <v>41.84607179487179</v>
      </c>
      <c r="BP17" s="170">
        <f ca="1">INDEX('Cap based on indoor unit SZ'!$V$43:$V$58,MATCH(AE17,'Cap based on indoor unit SZ'!$U$43:$U$58))</f>
        <v>11.956020512820512</v>
      </c>
      <c r="BQ17" s="170">
        <f ca="1">INDEX('Cap based on indoor unit SZ'!$V$43:$V$58,MATCH(AF17,'Cap based on indoor unit SZ'!$U$43:$U$58))</f>
        <v>14.945025641025641</v>
      </c>
      <c r="BR17" s="170">
        <f ca="1">INDEX('Cap based on indoor unit SZ'!$V$43:$V$58,MATCH(AG17,'Cap based on indoor unit SZ'!$U$43:$U$58))</f>
        <v>14.945025641025641</v>
      </c>
      <c r="BS17" s="179"/>
      <c r="BT17" s="179"/>
      <c r="BU17" s="175">
        <v>8500</v>
      </c>
      <c r="BV17" s="175">
        <v>11500</v>
      </c>
      <c r="BW17" s="175">
        <v>11500</v>
      </c>
      <c r="BX17" s="179"/>
      <c r="BY17" s="179"/>
      <c r="BZ17" s="172">
        <f t="shared" ca="1" si="14"/>
        <v>35.762119658119659</v>
      </c>
      <c r="CA17" s="173">
        <f ca="1">(INDEX($AA$4:$AA$7,MATCH(INDOOR_1,$Z$4:$Z$7))*(INDEX($X$118:$X$137,MATCH($AD17,$W$118:$W$137,1))/(INDEX($AA$4:$AA$7,MATCH(INDOOR_1,$Z$4:$Z$7))+INDEX($AA$4:$AA$7,MATCH(INDOOR_2,$Z$4:$Z$7))+INDEX($AA$4:$AA$7,MATCH(INDOOR_3,$Z$4:$Z$7)))))</f>
        <v>9.7533053613053617</v>
      </c>
      <c r="CB17" s="173">
        <f ca="1">(INDEX($AA$4:$AA$7,MATCH(INDOOR_2,$Z$4:$Z$7))*(INDEX($X$118:$X$137,MATCH($AD17,$W$118:$W$137,1))/(INDEX($AA$4:$AA$7,MATCH(INDOOR_1,$Z$4:$Z$7))+INDEX($AA$4:$AA$7,MATCH(INDOOR_2,$Z$4:$Z$7))+INDEX($AA$4:$AA$7,MATCH(INDOOR_3,$Z$4:$Z$7)))))</f>
        <v>13.004407148407148</v>
      </c>
      <c r="CC17" s="173">
        <f ca="1">(INDEX($AA$4:$AA$7,MATCH(INDOOR_3,$Z$4:$Z$7))*(INDEX($X$118:$X$137,MATCH($AD17,$W$118:$W$137,1))/(INDEX($AA$4:$AA$7,MATCH(INDOOR_1,$Z$4:$Z$7))+INDEX($AA$4:$AA$7,MATCH(INDOOR_2,$Z$4:$Z$7))+INDEX($AA$4:$AA$7,MATCH(INDOOR_3,$Z$4:$Z$7)))))</f>
        <v>13.004407148407148</v>
      </c>
      <c r="CD17" s="180"/>
      <c r="CE17" s="180"/>
      <c r="CF17" s="166">
        <f t="shared" ca="1" si="17"/>
        <v>21.52555708521378</v>
      </c>
      <c r="CG17" s="167">
        <f t="shared" ca="1" si="18"/>
        <v>5.8706064777855769</v>
      </c>
      <c r="CH17" s="167">
        <f t="shared" ca="1" si="18"/>
        <v>7.8274753037141016</v>
      </c>
      <c r="CI17" s="167">
        <f ca="1">AN17*(INDEX($X$67:$X$86,MATCH($AD17,$W$67:$W$86,1)))</f>
        <v>7.8274753037141016</v>
      </c>
      <c r="CJ17" s="178"/>
      <c r="CK17" s="178"/>
    </row>
    <row r="18" spans="1:89">
      <c r="A18" s="4"/>
      <c r="AC18" s="164" t="s">
        <v>217</v>
      </c>
      <c r="AD18" s="164">
        <v>24</v>
      </c>
      <c r="AE18" s="165">
        <v>12</v>
      </c>
      <c r="AF18" s="165">
        <v>12</v>
      </c>
      <c r="AG18" s="165">
        <v>12</v>
      </c>
      <c r="AH18" s="164"/>
      <c r="AI18" s="164"/>
      <c r="AJ18" s="501"/>
      <c r="AK18" s="166">
        <f t="shared" ca="1" si="2"/>
        <v>28.912222222222226</v>
      </c>
      <c r="AL18" s="167">
        <f ca="1">IF((INDEX($AA$4:$AA$7,MATCH(INDOOR_1,$Z$4:$Z$7))*(INDEX($X$27:$X$46,MATCH($AD18,$W$27:$W$46,1))/(INDEX($AA$4:$AA$7,MATCH(INDOOR_1,$Z$4:$Z$7))+INDEX($AA$4:$AA$7,MATCH(INDOOR_2,$Z$4:$Z$7))+INDEX($AA$4:$AA$7,MATCH(INDOOR_3,$Z$4:$Z$7)))))
&gt;AR18,AR18,
(INDEX($AA$4:$AA$7,MATCH(INDOOR_1,$Z$4:$Z$7))*(INDEX($X$27:$X$46,MATCH($AD18,$W$27:$W$46,1))/(INDEX($AA$4:$AA$7,MATCH(INDOOR_1,$Z$4:$Z$7))+INDEX($AA$4:$AA$7,MATCH(INDOOR_2,$Z$4:$Z$7))+INDEX($AA$4:$AA$7,MATCH(INDOOR_3,$Z$4:$Z$7))))))</f>
        <v>9.6374074074074088</v>
      </c>
      <c r="AM18" s="167">
        <f ca="1">IF((INDEX($AA$4:$AA$7,MATCH(INDOOR_2,$Z$4:$Z$7))*(INDEX($X$27:$X$46,MATCH($AD18,$W$27:$W$46,1))/(INDEX($AA$4:$AA$7,MATCH(INDOOR_1,$Z$4:$Z$7))+INDEX($AA$4:$AA$7,MATCH(INDOOR_2,$Z$4:$Z$7))+INDEX($AA$4:$AA$7,MATCH(INDOOR_3,$Z$4:$Z$7)))))
&gt;AS18,AS18,
(INDEX($AA$4:$AA$7,MATCH(INDOOR_2,$Z$4:$Z$7))*(INDEX($X$27:$X$46,MATCH($AD18,$W$27:$W$46,1))/(INDEX($AA$4:$AA$7,MATCH(INDOOR_1,$Z$4:$Z$7))+INDEX($AA$4:$AA$7,MATCH(INDOOR_2,$Z$4:$Z$7))+INDEX($AA$4:$AA$7,MATCH(INDOOR_3,$Z$4:$Z$7))))))</f>
        <v>9.6374074074074088</v>
      </c>
      <c r="AN18" s="167">
        <f ca="1">IF((INDEX($AA$4:$AA$7,MATCH(INDOOR_3,$Z$4:$Z$7))*(INDEX($X$27:$X$46,MATCH($AD18,$W$27:$W$46,1))/(INDEX($AA$4:$AA$7,MATCH(INDOOR_1,$Z$4:$Z$7))+INDEX($AA$4:$AA$7,MATCH(INDOOR_2,$Z$4:$Z$7))+INDEX($AA$4:$AA$7,MATCH(INDOOR_3,$Z$4:$Z$7)))))
&gt;AT18,AT18,
(INDEX($AA$4:$AA$7,MATCH(INDOOR_3,$Z$4:$Z$7))*(INDEX($X$27:$X$46,MATCH($AD18,$W$27:$W$46,1))/(INDEX($AA$4:$AA$7,MATCH(INDOOR_1,$Z$4:$Z$7))+INDEX($AA$4:$AA$7,MATCH(INDOOR_2,$Z$4:$Z$7))+INDEX($AA$4:$AA$7,MATCH(INDOOR_3,$Z$4:$Z$7))))))</f>
        <v>9.6374074074074088</v>
      </c>
      <c r="AO18" s="178"/>
      <c r="AP18" s="178"/>
      <c r="AQ18" s="169">
        <f t="shared" ca="1" si="5"/>
        <v>39.236666666666672</v>
      </c>
      <c r="AR18" s="170">
        <f ca="1">INDEX('Cap based on indoor unit SZ'!$J$6:$J$21,MATCH(AE18,'Cap based on indoor unit SZ'!$I$6:$I$21))</f>
        <v>13.078888888888891</v>
      </c>
      <c r="AS18" s="170">
        <f ca="1">INDEX('Cap based on indoor unit SZ'!$J$6:$J$21,MATCH(AF18,'Cap based on indoor unit SZ'!$I$6:$I$21))</f>
        <v>13.078888888888891</v>
      </c>
      <c r="AT18" s="170">
        <f ca="1">INDEX('Cap based on indoor unit SZ'!$J$6:$J$21,MATCH(AG18,'Cap based on indoor unit SZ'!$I$6:$I$21))</f>
        <v>13.078888888888891</v>
      </c>
      <c r="AU18" s="179"/>
      <c r="AV18" s="179"/>
      <c r="AW18" s="169">
        <f t="shared" si="6"/>
        <v>29.000999999999998</v>
      </c>
      <c r="AX18" s="170">
        <v>9.6669999999999998</v>
      </c>
      <c r="AY18" s="170">
        <v>9.6669999999999998</v>
      </c>
      <c r="AZ18" s="170">
        <v>9.6669999999999998</v>
      </c>
      <c r="BA18" s="179"/>
      <c r="BB18" s="179"/>
      <c r="BC18" s="172">
        <f t="shared" ca="1" si="7"/>
        <v>28.912222222222226</v>
      </c>
      <c r="BD18" s="173">
        <f t="shared" ca="1" si="19"/>
        <v>9.6374074074074088</v>
      </c>
      <c r="BE18" s="173">
        <f t="shared" ca="1" si="19"/>
        <v>9.6374074074074088</v>
      </c>
      <c r="BF18" s="173">
        <f t="shared" ca="1" si="19"/>
        <v>9.6374074074074088</v>
      </c>
      <c r="BG18" s="180"/>
      <c r="BH18" s="180"/>
      <c r="BI18" s="166">
        <f t="shared" ca="1" si="10"/>
        <v>35.762119658119651</v>
      </c>
      <c r="BJ18" s="167">
        <f ca="1">IF((INDEX($AA$4:$AA$7,MATCH(INDOOR_1,$Z$4:$Z$7))*(INDEX($X$118:$X$137,MATCH($AD18,$W$118:$W$137,1))/(INDEX($AA$4:$AA$7,MATCH(INDOOR_1,$Z$4:$Z$7))+INDEX($AA$4:$AA$7,MATCH(INDOOR_2,$Z$4:$Z$7))+INDEX($AA$4:$AA$7,MATCH(INDOOR_3,$Z$4:$Z$7)))))
&gt;BP18,BP18,
(INDEX($AA$4:$AA$7,MATCH(INDOOR_1,$Z$4:$Z$7))*(INDEX($X$118:$X$137,MATCH($AD18,$W$118:$W$137,1))/(INDEX($AA$4:$AA$7,MATCH(INDOOR_1,$Z$4:$Z$7))+INDEX($AA$4:$AA$7,MATCH(INDOOR_2,$Z$4:$Z$7))+INDEX($AA$4:$AA$7,MATCH(INDOOR_3,$Z$4:$Z$7))))))</f>
        <v>11.92070655270655</v>
      </c>
      <c r="BK18" s="167">
        <f ca="1">IF((INDEX($AA$4:$AA$7,MATCH(INDOOR_2,$Z$4:$Z$7))*(INDEX($X$118:$X$137,MATCH($AD18,$W$118:$W$137,1))/(INDEX($AA$4:$AA$7,MATCH(INDOOR_1,$Z$4:$Z$7))+INDEX($AA$4:$AA$7,MATCH(INDOOR_2,$Z$4:$Z$7))+INDEX($AA$4:$AA$7,MATCH(INDOOR_3,$Z$4:$Z$7)))))
&gt;BQ18,BQ18,
(INDEX($AA$4:$AA$7,MATCH(INDOOR_2,$Z$4:$Z$7))*(INDEX($X$118:$X$137,MATCH($AD18,$W$118:$W$137,1))/(INDEX($AA$4:$AA$7,MATCH(INDOOR_1,$Z$4:$Z$7))+INDEX($AA$4:$AA$7,MATCH(INDOOR_2,$Z$4:$Z$7))+INDEX($AA$4:$AA$7,MATCH(INDOOR_3,$Z$4:$Z$7))))))</f>
        <v>11.92070655270655</v>
      </c>
      <c r="BL18" s="167">
        <f ca="1">IF((INDEX($AA$4:$AA$7,MATCH(INDOOR_3,$Z$4:$Z$7))*(INDEX($X$118:$X$137,MATCH($AD18,$W$118:$W$137,1))/(INDEX($AA$4:$AA$7,MATCH(INDOOR_1,$Z$4:$Z$7))+INDEX($AA$4:$AA$7,MATCH(INDOOR_2,$Z$4:$Z$7))+INDEX($AA$4:$AA$7,MATCH(INDOOR_3,$Z$4:$Z$7)))))
&gt;BR18,BR18,
(INDEX($AA$4:$AA$7,MATCH(INDOOR_3,$Z$4:$Z$7))*(INDEX($X$118:$X$137,MATCH($AD18,$W$118:$W$137,1))/(INDEX($AA$4:$AA$7,MATCH(INDOOR_1,$Z$4:$Z$7))+INDEX($AA$4:$AA$7,MATCH(INDOOR_2,$Z$4:$Z$7))+INDEX($AA$4:$AA$7,MATCH(INDOOR_3,$Z$4:$Z$7))))))</f>
        <v>11.92070655270655</v>
      </c>
      <c r="BM18" s="178"/>
      <c r="BN18" s="178"/>
      <c r="BO18" s="169">
        <f t="shared" ca="1" si="13"/>
        <v>44.835076923076926</v>
      </c>
      <c r="BP18" s="170">
        <f ca="1">INDEX('Cap based on indoor unit SZ'!$V$43:$V$58,MATCH(AE18,'Cap based on indoor unit SZ'!$U$43:$U$58))</f>
        <v>14.945025641025641</v>
      </c>
      <c r="BQ18" s="170">
        <f ca="1">INDEX('Cap based on indoor unit SZ'!$V$43:$V$58,MATCH(AF18,'Cap based on indoor unit SZ'!$U$43:$U$58))</f>
        <v>14.945025641025641</v>
      </c>
      <c r="BR18" s="170">
        <f ca="1">INDEX('Cap based on indoor unit SZ'!$V$43:$V$58,MATCH(AG18,'Cap based on indoor unit SZ'!$U$43:$U$58))</f>
        <v>14.945025641025641</v>
      </c>
      <c r="BS18" s="179"/>
      <c r="BT18" s="179"/>
      <c r="BU18" s="175">
        <v>10667</v>
      </c>
      <c r="BV18" s="175">
        <v>10667</v>
      </c>
      <c r="BW18" s="175">
        <v>10667</v>
      </c>
      <c r="BX18" s="179"/>
      <c r="BY18" s="179"/>
      <c r="BZ18" s="172">
        <f t="shared" ca="1" si="14"/>
        <v>35.762119658119651</v>
      </c>
      <c r="CA18" s="173">
        <f ca="1">(INDEX($AA$4:$AA$7,MATCH(INDOOR_1,$Z$4:$Z$7))*(INDEX($X$118:$X$137,MATCH($AD18,$W$118:$W$137,1))/(INDEX($AA$4:$AA$7,MATCH(INDOOR_1,$Z$4:$Z$7))+INDEX($AA$4:$AA$7,MATCH(INDOOR_2,$Z$4:$Z$7))+INDEX($AA$4:$AA$7,MATCH(INDOOR_3,$Z$4:$Z$7)))))</f>
        <v>11.92070655270655</v>
      </c>
      <c r="CB18" s="173">
        <f ca="1">(INDEX($AA$4:$AA$7,MATCH(INDOOR_2,$Z$4:$Z$7))*(INDEX($X$118:$X$137,MATCH($AD18,$W$118:$W$137,1))/(INDEX($AA$4:$AA$7,MATCH(INDOOR_1,$Z$4:$Z$7))+INDEX($AA$4:$AA$7,MATCH(INDOOR_2,$Z$4:$Z$7))+INDEX($AA$4:$AA$7,MATCH(INDOOR_3,$Z$4:$Z$7)))))</f>
        <v>11.92070655270655</v>
      </c>
      <c r="CC18" s="173">
        <f ca="1">(INDEX($AA$4:$AA$7,MATCH(INDOOR_3,$Z$4:$Z$7))*(INDEX($X$118:$X$137,MATCH($AD18,$W$118:$W$137,1))/(INDEX($AA$4:$AA$7,MATCH(INDOOR_1,$Z$4:$Z$7))+INDEX($AA$4:$AA$7,MATCH(INDOOR_2,$Z$4:$Z$7))+INDEX($AA$4:$AA$7,MATCH(INDOOR_3,$Z$4:$Z$7)))))</f>
        <v>11.92070655270655</v>
      </c>
      <c r="CD18" s="180"/>
      <c r="CE18" s="180"/>
      <c r="CF18" s="166">
        <f t="shared" ca="1" si="17"/>
        <v>21.525557085213777</v>
      </c>
      <c r="CG18" s="167">
        <f t="shared" ca="1" si="18"/>
        <v>7.1751856950712591</v>
      </c>
      <c r="CH18" s="167">
        <f t="shared" ca="1" si="18"/>
        <v>7.1751856950712591</v>
      </c>
      <c r="CI18" s="167">
        <f ca="1">AN18*(INDEX($X$67:$X$86,MATCH($AD18,$W$67:$W$86,1)))</f>
        <v>7.1751856950712591</v>
      </c>
      <c r="CJ18" s="178"/>
      <c r="CK18" s="178"/>
    </row>
    <row r="19" spans="1:89">
      <c r="A19" s="4"/>
      <c r="AC19" s="160" t="s">
        <v>47</v>
      </c>
      <c r="AD19" s="160">
        <v>30</v>
      </c>
      <c r="AE19" s="160"/>
      <c r="AF19" s="160"/>
      <c r="AG19" s="160"/>
      <c r="AH19" s="160"/>
      <c r="AI19" s="160"/>
      <c r="AJ19" s="176"/>
      <c r="AK19" s="166"/>
      <c r="AL19" s="272" t="s">
        <v>60</v>
      </c>
      <c r="AM19" s="272" t="s">
        <v>61</v>
      </c>
      <c r="AN19" s="272" t="s">
        <v>62</v>
      </c>
      <c r="AO19" s="272" t="s">
        <v>63</v>
      </c>
      <c r="AP19" s="272" t="s">
        <v>64</v>
      </c>
      <c r="AQ19" s="169"/>
      <c r="AR19" s="160" t="s">
        <v>60</v>
      </c>
      <c r="AS19" s="160" t="s">
        <v>61</v>
      </c>
      <c r="AT19" s="160" t="s">
        <v>62</v>
      </c>
      <c r="AU19" s="160" t="s">
        <v>63</v>
      </c>
      <c r="AV19" s="160" t="s">
        <v>64</v>
      </c>
      <c r="AW19" s="169"/>
      <c r="AX19" s="160" t="s">
        <v>60</v>
      </c>
      <c r="AY19" s="160" t="s">
        <v>61</v>
      </c>
      <c r="AZ19" s="160" t="s">
        <v>62</v>
      </c>
      <c r="BA19" s="160" t="s">
        <v>63</v>
      </c>
      <c r="BB19" s="160" t="s">
        <v>64</v>
      </c>
      <c r="BC19" s="172"/>
      <c r="BD19" s="274" t="s">
        <v>60</v>
      </c>
      <c r="BE19" s="274" t="s">
        <v>61</v>
      </c>
      <c r="BF19" s="274" t="s">
        <v>62</v>
      </c>
      <c r="BG19" s="274" t="s">
        <v>63</v>
      </c>
      <c r="BH19" s="274" t="s">
        <v>64</v>
      </c>
      <c r="BI19" s="166"/>
      <c r="BJ19" s="272" t="s">
        <v>60</v>
      </c>
      <c r="BK19" s="272" t="s">
        <v>61</v>
      </c>
      <c r="BL19" s="272" t="s">
        <v>62</v>
      </c>
      <c r="BM19" s="272" t="s">
        <v>63</v>
      </c>
      <c r="BN19" s="272" t="s">
        <v>64</v>
      </c>
      <c r="BO19" s="169"/>
      <c r="BP19" s="160" t="s">
        <v>60</v>
      </c>
      <c r="BQ19" s="160" t="s">
        <v>61</v>
      </c>
      <c r="BR19" s="160" t="s">
        <v>62</v>
      </c>
      <c r="BS19" s="160" t="s">
        <v>63</v>
      </c>
      <c r="BT19" s="160" t="s">
        <v>64</v>
      </c>
      <c r="BU19" s="160" t="s">
        <v>60</v>
      </c>
      <c r="BV19" s="160" t="s">
        <v>61</v>
      </c>
      <c r="BW19" s="160" t="s">
        <v>62</v>
      </c>
      <c r="BX19" s="160" t="s">
        <v>63</v>
      </c>
      <c r="BY19" s="160" t="s">
        <v>64</v>
      </c>
      <c r="BZ19" s="172"/>
      <c r="CA19" s="274" t="s">
        <v>60</v>
      </c>
      <c r="CB19" s="274" t="s">
        <v>61</v>
      </c>
      <c r="CC19" s="274" t="s">
        <v>62</v>
      </c>
      <c r="CD19" s="274" t="s">
        <v>63</v>
      </c>
      <c r="CE19" s="274" t="s">
        <v>64</v>
      </c>
      <c r="CF19" s="166"/>
      <c r="CG19" s="272" t="s">
        <v>60</v>
      </c>
      <c r="CH19" s="272" t="s">
        <v>61</v>
      </c>
      <c r="CI19" s="272" t="s">
        <v>62</v>
      </c>
      <c r="CJ19" s="272" t="s">
        <v>63</v>
      </c>
      <c r="CK19" s="272" t="s">
        <v>64</v>
      </c>
    </row>
    <row r="20" spans="1:89">
      <c r="A20" s="4"/>
      <c r="AC20" s="164" t="s">
        <v>230</v>
      </c>
      <c r="AD20" s="164">
        <v>30</v>
      </c>
      <c r="AE20" s="165">
        <v>9</v>
      </c>
      <c r="AF20" s="165">
        <v>9</v>
      </c>
      <c r="AG20" s="165"/>
      <c r="AH20" s="164"/>
      <c r="AI20" s="164"/>
      <c r="AJ20" s="510">
        <v>2</v>
      </c>
      <c r="AK20" s="166">
        <f t="shared" ref="AK20:AK46" ca="1" si="20">SUM(AL20:AP20)</f>
        <v>20.926222222222222</v>
      </c>
      <c r="AL20" s="167">
        <f t="shared" ref="AL20:AL27" ca="1" si="21">IF((INDEX($AA$4:$AA$7,MATCH(INDOOR_1,$Z$4:$Z$7))*(INDEX($X$27:$X$46,MATCH($AD20,$W$27:$W$46,1))/(INDEX($AA$4:$AA$7,MATCH(INDOOR_1,$Z$4:$Z$7))+INDEX($AA$4:$AA$7,MATCH(INDOOR_2,$Z$4:$Z$7)))))
&gt;AR20,AR20,
(INDEX($AA$4:$AA$7,MATCH(INDOOR_1,$Z$4:$Z$7))*(INDEX($X$27:$X$46,MATCH($AD20,$W$27:$W$46,1))/(INDEX($AA$4:$AA$7,MATCH(INDOOR_1,$Z$4:$Z$7))+INDEX($AA$4:$AA$7,MATCH(INDOOR_2,$Z$4:$Z$7))))))</f>
        <v>10.463111111111111</v>
      </c>
      <c r="AM20" s="167">
        <f t="shared" ref="AM20:AM27" ca="1" si="22">IF((INDEX($AA$4:$AA$7,MATCH(INDOOR_2,$Z$4:$Z$7))*(INDEX($X$27:$X$46,MATCH($AD20,$W$27:$W$46,1))/(INDEX($AA$4:$AA$7,MATCH(INDOOR_1,$Z$4:$Z$7))+INDEX($AA$4:$AA$7,MATCH(INDOOR_2,$Z$4:$Z$7)))))
&gt;AS20,AS20,
(INDEX($AA$4:$AA$7,MATCH(INDOOR_2,$Z$4:$Z$7))*(INDEX($X$27:$X$46,MATCH($AD20,$W$27:$W$46,1))/(INDEX($AA$4:$AA$7,MATCH(INDOOR_1,$Z$4:$Z$7))+INDEX($AA$4:$AA$7,MATCH(INDOOR_2,$Z$4:$Z$7))))))</f>
        <v>10.463111111111111</v>
      </c>
      <c r="AN20" s="178"/>
      <c r="AO20" s="178"/>
      <c r="AP20" s="178"/>
      <c r="AQ20" s="169">
        <f t="shared" ref="AQ20:AQ46" ca="1" si="23">SUM(AR20:AV20)</f>
        <v>20.926222222222222</v>
      </c>
      <c r="AR20" s="170">
        <f ca="1">INDEX('Cap based on indoor unit SZ'!$J$6:$J$21,MATCH(AE20,'Cap based on indoor unit SZ'!$I$6:$I$21))</f>
        <v>10.463111111111111</v>
      </c>
      <c r="AS20" s="170">
        <f ca="1">INDEX('Cap based on indoor unit SZ'!$J$6:$J$21,MATCH(AF20,'Cap based on indoor unit SZ'!$I$6:$I$21))</f>
        <v>10.463111111111111</v>
      </c>
      <c r="AT20" s="179"/>
      <c r="AU20" s="179"/>
      <c r="AV20" s="179"/>
      <c r="AW20" s="169">
        <f t="shared" ref="AW20:AW46" si="24">SUM(AX20:BB20)</f>
        <v>20</v>
      </c>
      <c r="AX20" s="170">
        <v>10</v>
      </c>
      <c r="AY20" s="170">
        <v>10</v>
      </c>
      <c r="AZ20" s="179"/>
      <c r="BA20" s="179"/>
      <c r="BB20" s="179"/>
      <c r="BC20" s="172">
        <f t="shared" ref="BC20:BC46" ca="1" si="25">SUM(BD20:BH20)</f>
        <v>36.973333333333329</v>
      </c>
      <c r="BD20" s="173">
        <f t="shared" ref="BD20:BD27" ca="1" si="26">(INDEX($AA$4:$AA$7,MATCH(AE20,$Z$4:$Z$7))*(INDEX($X$27:$X$46,MATCH($AD20,$W$27:$W$46,1))/(INDEX($AA$4:$AA$7,MATCH(AE20,$Z$4:$Z$7))+INDEX($AA$4:$AA$7,MATCH(AF20,$Z$4:$Z$7)))))</f>
        <v>18.486666666666665</v>
      </c>
      <c r="BE20" s="173">
        <f t="shared" ref="BE20:BE27" ca="1" si="27">(INDEX($AA$4:$AA$7,MATCH(AF20,$Z$4:$Z$7))*(INDEX($X$27:$X$46,MATCH($AD20,$W$27:$W$46,1))/(INDEX($AA$4:$AA$7,MATCH(AE20,$Z$4:$Z$7))+INDEX($AA$4:$AA$7,MATCH(AF20,$Z$4:$Z$7)))))</f>
        <v>18.486666666666665</v>
      </c>
      <c r="BF20" s="180"/>
      <c r="BG20" s="180"/>
      <c r="BH20" s="180"/>
      <c r="BI20" s="166">
        <f t="shared" ref="BI20:BI46" ca="1" si="28">SUM(BJ20:BN20)</f>
        <v>23.912041025641024</v>
      </c>
      <c r="BJ20" s="167">
        <f t="shared" ref="BJ20:BJ27" ca="1" si="29">IF((INDEX($AA$4:$AA$7,MATCH(INDOOR_1,$Z$4:$Z$7))*(INDEX($X$118:$X$137,MATCH($AD20,$W$118:$W$137,1))/(INDEX($AA$4:$AA$7,MATCH(INDOOR_1,$Z$4:$Z$7))+INDEX($AA$4:$AA$7,MATCH(INDOOR_2,$Z$4:$Z$7)))))
&gt;BP20,BP20,
(INDEX($AA$4:$AA$7,MATCH(INDOOR_1,$Z$4:$Z$7))*(INDEX($X$118:$X$137,MATCH($AD20,$W$118:$W$137,1))/(INDEX($AA$4:$AA$7,MATCH(INDOOR_1,$Z$4:$Z$7))+INDEX($AA$4:$AA$7,MATCH(INDOOR_2,$Z$4:$Z$7))))))</f>
        <v>11.956020512820512</v>
      </c>
      <c r="BK20" s="167">
        <f t="shared" ref="BK20:BK27" ca="1" si="30">IF((INDEX($AA$4:$AA$7,MATCH(INDOOR_2,$Z$4:$Z$7))*(INDEX($X$118:$X$137,MATCH($AD20,$W$118:$W$137,1))/(INDEX($AA$4:$AA$7,MATCH(INDOOR_1,$Z$4:$Z$7))+INDEX($AA$4:$AA$7,MATCH(INDOOR_2,$Z$4:$Z$7)))))
&gt;BQ20,BQ20,
(INDEX($AA$4:$AA$7,MATCH(INDOOR_2,$Z$4:$Z$7))*(INDEX($X$118:$X$137,MATCH($AD20,$W$118:$W$137,1))/(INDEX($AA$4:$AA$7,MATCH(INDOOR_1,$Z$4:$Z$7))+INDEX($AA$4:$AA$7,MATCH(INDOOR_2,$Z$4:$Z$7))))))</f>
        <v>11.956020512820512</v>
      </c>
      <c r="BL20" s="178"/>
      <c r="BM20" s="178"/>
      <c r="BN20" s="178"/>
      <c r="BO20" s="169">
        <f t="shared" ref="BO20:BO46" ca="1" si="31">SUM(BP20:BT20)</f>
        <v>23.912041025641024</v>
      </c>
      <c r="BP20" s="170">
        <f ca="1">INDEX('Cap based on indoor unit SZ'!$V$43:$V$58,MATCH(AE20,'Cap based on indoor unit SZ'!$U$43:$U$58))</f>
        <v>11.956020512820512</v>
      </c>
      <c r="BQ20" s="170">
        <f ca="1">INDEX('Cap based on indoor unit SZ'!$V$43:$V$58,MATCH(AF20,'Cap based on indoor unit SZ'!$U$43:$U$58))</f>
        <v>11.956020512820512</v>
      </c>
      <c r="BR20" s="179"/>
      <c r="BS20" s="179"/>
      <c r="BT20" s="179"/>
      <c r="BU20" s="175">
        <v>10500</v>
      </c>
      <c r="BV20" s="175">
        <v>10500</v>
      </c>
      <c r="BW20" s="179"/>
      <c r="BX20" s="179"/>
      <c r="BY20" s="179"/>
      <c r="BZ20" s="172">
        <f t="shared" ref="BZ20:BZ46" ca="1" si="32">SUM(CA20:CE20)</f>
        <v>36.672000000000004</v>
      </c>
      <c r="CA20" s="173">
        <f t="shared" ref="CA20:CA27" ca="1" si="33">(INDEX($AA$4:$AA$7,MATCH(INDOOR_1,$Z$4:$Z$7))*(INDEX($X$118:$X$137,MATCH($AD20,$W$118:$W$137,1))/(INDEX($AA$4:$AA$7,MATCH(INDOOR_1,$Z$4:$Z$7))+INDEX($AA$4:$AA$7,MATCH(INDOOR_2,$Z$4:$Z$7)))))</f>
        <v>18.336000000000002</v>
      </c>
      <c r="CB20" s="173">
        <f t="shared" ref="CB20:CB27" ca="1" si="34">(INDEX($AA$4:$AA$7,MATCH(INDOOR_2,$Z$4:$Z$7))*(INDEX($X$118:$X$137,MATCH($AD20,$W$118:$W$137,1))/(INDEX($AA$4:$AA$7,MATCH(INDOOR_1,$Z$4:$Z$7))+INDEX($AA$4:$AA$7,MATCH(INDOOR_2,$Z$4:$Z$7)))))</f>
        <v>18.336000000000002</v>
      </c>
      <c r="CC20" s="180"/>
      <c r="CD20" s="180"/>
      <c r="CE20" s="180"/>
      <c r="CF20" s="166">
        <f t="shared" ref="CF20:CF46" ca="1" si="35">SUM(CG20:CK20)</f>
        <v>15.67113532984391</v>
      </c>
      <c r="CG20" s="167">
        <f t="shared" ref="CG20:CJ46" ca="1" si="36">AL20*(INDEX($X$67:$X$86,MATCH($AD20,$W$67:$W$86,1)))</f>
        <v>7.835567664921955</v>
      </c>
      <c r="CH20" s="167">
        <f t="shared" ca="1" si="36"/>
        <v>7.835567664921955</v>
      </c>
      <c r="CI20" s="178"/>
      <c r="CJ20" s="178"/>
      <c r="CK20" s="178"/>
    </row>
    <row r="21" spans="1:89">
      <c r="A21" s="4"/>
      <c r="AC21" s="164" t="s">
        <v>228</v>
      </c>
      <c r="AD21" s="164">
        <v>30</v>
      </c>
      <c r="AE21" s="165">
        <v>9</v>
      </c>
      <c r="AF21" s="165">
        <v>12</v>
      </c>
      <c r="AG21" s="165"/>
      <c r="AH21" s="164"/>
      <c r="AI21" s="164"/>
      <c r="AJ21" s="510"/>
      <c r="AK21" s="166">
        <f t="shared" ca="1" si="20"/>
        <v>23.542000000000002</v>
      </c>
      <c r="AL21" s="167">
        <f t="shared" ca="1" si="21"/>
        <v>10.463111111111111</v>
      </c>
      <c r="AM21" s="167">
        <f t="shared" ca="1" si="22"/>
        <v>13.078888888888891</v>
      </c>
      <c r="AN21" s="178"/>
      <c r="AO21" s="178"/>
      <c r="AP21" s="178"/>
      <c r="AQ21" s="169">
        <f t="shared" ca="1" si="23"/>
        <v>23.542000000000002</v>
      </c>
      <c r="AR21" s="170">
        <f ca="1">INDEX('Cap based on indoor unit SZ'!$J$6:$J$21,MATCH(AE21,'Cap based on indoor unit SZ'!$I$6:$I$21))</f>
        <v>10.463111111111111</v>
      </c>
      <c r="AS21" s="170">
        <f ca="1">INDEX('Cap based on indoor unit SZ'!$J$6:$J$21,MATCH(AF21,'Cap based on indoor unit SZ'!$I$6:$I$21))</f>
        <v>13.078888888888891</v>
      </c>
      <c r="AT21" s="179"/>
      <c r="AU21" s="179"/>
      <c r="AV21" s="179"/>
      <c r="AW21" s="169">
        <f t="shared" si="24"/>
        <v>21.5</v>
      </c>
      <c r="AX21" s="170">
        <v>9.5</v>
      </c>
      <c r="AY21" s="170">
        <v>12</v>
      </c>
      <c r="AZ21" s="179"/>
      <c r="BA21" s="179"/>
      <c r="BB21" s="179"/>
      <c r="BC21" s="172">
        <f t="shared" ca="1" si="25"/>
        <v>36.973333333333329</v>
      </c>
      <c r="BD21" s="173">
        <f t="shared" ca="1" si="26"/>
        <v>15.845714285714285</v>
      </c>
      <c r="BE21" s="173">
        <f t="shared" ca="1" si="27"/>
        <v>21.127619047619046</v>
      </c>
      <c r="BF21" s="180"/>
      <c r="BG21" s="180"/>
      <c r="BH21" s="180"/>
      <c r="BI21" s="166">
        <f t="shared" ca="1" si="28"/>
        <v>26.901046153846153</v>
      </c>
      <c r="BJ21" s="167">
        <f t="shared" ca="1" si="29"/>
        <v>11.956020512820512</v>
      </c>
      <c r="BK21" s="167">
        <f t="shared" ca="1" si="30"/>
        <v>14.945025641025641</v>
      </c>
      <c r="BL21" s="178"/>
      <c r="BM21" s="178"/>
      <c r="BN21" s="178"/>
      <c r="BO21" s="169">
        <f t="shared" ca="1" si="31"/>
        <v>26.901046153846153</v>
      </c>
      <c r="BP21" s="170">
        <f ca="1">INDEX('Cap based on indoor unit SZ'!$V$43:$V$58,MATCH(AE21,'Cap based on indoor unit SZ'!$U$43:$U$58))</f>
        <v>11.956020512820512</v>
      </c>
      <c r="BQ21" s="170">
        <f ca="1">INDEX('Cap based on indoor unit SZ'!$V$43:$V$58,MATCH(AF21,'Cap based on indoor unit SZ'!$U$43:$U$58))</f>
        <v>14.945025641025641</v>
      </c>
      <c r="BR21" s="179"/>
      <c r="BS21" s="179"/>
      <c r="BT21" s="179"/>
      <c r="BU21" s="175">
        <v>10000</v>
      </c>
      <c r="BV21" s="175">
        <v>13000</v>
      </c>
      <c r="BW21" s="179"/>
      <c r="BX21" s="179"/>
      <c r="BY21" s="179"/>
      <c r="BZ21" s="172">
        <f t="shared" ca="1" si="32"/>
        <v>36.672000000000011</v>
      </c>
      <c r="CA21" s="173">
        <f t="shared" ca="1" si="33"/>
        <v>15.716571428571433</v>
      </c>
      <c r="CB21" s="173">
        <f t="shared" ca="1" si="34"/>
        <v>20.955428571428577</v>
      </c>
      <c r="CC21" s="180"/>
      <c r="CD21" s="180"/>
      <c r="CE21" s="180"/>
      <c r="CF21" s="166">
        <f t="shared" ca="1" si="35"/>
        <v>17.630027246074398</v>
      </c>
      <c r="CG21" s="167">
        <f t="shared" ca="1" si="36"/>
        <v>7.835567664921955</v>
      </c>
      <c r="CH21" s="167">
        <f t="shared" ca="1" si="36"/>
        <v>9.7944595811524451</v>
      </c>
      <c r="CI21" s="178"/>
      <c r="CJ21" s="178"/>
      <c r="CK21" s="178"/>
    </row>
    <row r="22" spans="1:89">
      <c r="A22" s="4"/>
      <c r="AC22" s="164" t="s">
        <v>188</v>
      </c>
      <c r="AD22" s="164">
        <v>30</v>
      </c>
      <c r="AE22" s="165">
        <v>9</v>
      </c>
      <c r="AF22" s="165">
        <v>18</v>
      </c>
      <c r="AG22" s="165"/>
      <c r="AH22" s="164"/>
      <c r="AI22" s="164"/>
      <c r="AJ22" s="510"/>
      <c r="AK22" s="166">
        <f t="shared" ca="1" si="20"/>
        <v>30.284222222222223</v>
      </c>
      <c r="AL22" s="167">
        <f t="shared" ca="1" si="21"/>
        <v>10.463111111111111</v>
      </c>
      <c r="AM22" s="167">
        <f t="shared" ca="1" si="22"/>
        <v>19.821111111111112</v>
      </c>
      <c r="AN22" s="178"/>
      <c r="AO22" s="178"/>
      <c r="AP22" s="178"/>
      <c r="AQ22" s="169">
        <f t="shared" ca="1" si="23"/>
        <v>30.284222222222223</v>
      </c>
      <c r="AR22" s="170">
        <f ca="1">INDEX('Cap based on indoor unit SZ'!$J$6:$J$21,MATCH(AE22,'Cap based on indoor unit SZ'!$I$6:$I$21))</f>
        <v>10.463111111111111</v>
      </c>
      <c r="AS22" s="170">
        <f ca="1">INDEX('Cap based on indoor unit SZ'!$J$6:$J$21,MATCH(AF22,'Cap based on indoor unit SZ'!$I$6:$I$21))</f>
        <v>19.821111111111112</v>
      </c>
      <c r="AT22" s="179"/>
      <c r="AU22" s="179"/>
      <c r="AV22" s="179"/>
      <c r="AW22" s="169">
        <f t="shared" si="24"/>
        <v>27.5</v>
      </c>
      <c r="AX22" s="170">
        <v>9.5</v>
      </c>
      <c r="AY22" s="170">
        <v>18</v>
      </c>
      <c r="AZ22" s="179"/>
      <c r="BA22" s="179"/>
      <c r="BB22" s="179"/>
      <c r="BC22" s="172">
        <f t="shared" ca="1" si="25"/>
        <v>36.973333333333329</v>
      </c>
      <c r="BD22" s="173">
        <f t="shared" ca="1" si="26"/>
        <v>12.324444444444444</v>
      </c>
      <c r="BE22" s="173">
        <f t="shared" ca="1" si="27"/>
        <v>24.648888888888887</v>
      </c>
      <c r="BF22" s="180"/>
      <c r="BG22" s="180"/>
      <c r="BH22" s="180"/>
      <c r="BI22" s="166">
        <f t="shared" ca="1" si="28"/>
        <v>36.404020512820516</v>
      </c>
      <c r="BJ22" s="167">
        <f t="shared" ca="1" si="29"/>
        <v>11.956020512820512</v>
      </c>
      <c r="BK22" s="167">
        <f t="shared" ca="1" si="30"/>
        <v>24.448000000000004</v>
      </c>
      <c r="BL22" s="178"/>
      <c r="BM22" s="178"/>
      <c r="BN22" s="178"/>
      <c r="BO22" s="169">
        <f t="shared" ca="1" si="31"/>
        <v>36.554841025641025</v>
      </c>
      <c r="BP22" s="170">
        <f ca="1">INDEX('Cap based on indoor unit SZ'!$V$43:$V$58,MATCH(AE22,'Cap based on indoor unit SZ'!$U$43:$U$58))</f>
        <v>11.956020512820512</v>
      </c>
      <c r="BQ22" s="170">
        <f ca="1">INDEX('Cap based on indoor unit SZ'!$V$43:$V$58,MATCH(AF22,'Cap based on indoor unit SZ'!$U$43:$U$58))</f>
        <v>24.598820512820513</v>
      </c>
      <c r="BR22" s="179"/>
      <c r="BS22" s="179"/>
      <c r="BT22" s="179"/>
      <c r="BU22" s="175">
        <v>10000</v>
      </c>
      <c r="BV22" s="175">
        <v>18000</v>
      </c>
      <c r="BW22" s="179"/>
      <c r="BX22" s="179"/>
      <c r="BY22" s="179"/>
      <c r="BZ22" s="172">
        <f t="shared" ca="1" si="32"/>
        <v>36.672000000000004</v>
      </c>
      <c r="CA22" s="173">
        <f t="shared" ca="1" si="33"/>
        <v>12.224000000000002</v>
      </c>
      <c r="CB22" s="173">
        <f t="shared" ca="1" si="34"/>
        <v>24.448000000000004</v>
      </c>
      <c r="CC22" s="180"/>
      <c r="CD22" s="180"/>
      <c r="CE22" s="180"/>
      <c r="CF22" s="166">
        <f t="shared" ca="1" si="35"/>
        <v>22.679112348311509</v>
      </c>
      <c r="CG22" s="167">
        <f t="shared" ca="1" si="36"/>
        <v>7.835567664921955</v>
      </c>
      <c r="CH22" s="167">
        <f t="shared" ca="1" si="36"/>
        <v>14.843544683389554</v>
      </c>
      <c r="CI22" s="178"/>
      <c r="CJ22" s="178"/>
      <c r="CK22" s="178"/>
    </row>
    <row r="23" spans="1:89">
      <c r="B23" s="7" t="s">
        <v>8</v>
      </c>
      <c r="AC23" s="164" t="s">
        <v>187</v>
      </c>
      <c r="AD23" s="164">
        <v>30</v>
      </c>
      <c r="AE23" s="165">
        <v>9</v>
      </c>
      <c r="AF23" s="165">
        <v>24</v>
      </c>
      <c r="AG23" s="165"/>
      <c r="AH23" s="164"/>
      <c r="AI23" s="164"/>
      <c r="AJ23" s="510"/>
      <c r="AK23" s="166">
        <f t="shared" ca="1" si="20"/>
        <v>34.535858585858577</v>
      </c>
      <c r="AL23" s="167">
        <f t="shared" ca="1" si="21"/>
        <v>10.083636363636362</v>
      </c>
      <c r="AM23" s="167">
        <f t="shared" ca="1" si="22"/>
        <v>24.452222222222218</v>
      </c>
      <c r="AN23" s="178"/>
      <c r="AO23" s="178"/>
      <c r="AP23" s="178"/>
      <c r="AQ23" s="169">
        <f t="shared" ca="1" si="23"/>
        <v>34.915333333333329</v>
      </c>
      <c r="AR23" s="170">
        <f ca="1">INDEX('Cap based on indoor unit SZ'!$J$6:$J$21,MATCH(AE23,'Cap based on indoor unit SZ'!$I$6:$I$21))</f>
        <v>10.463111111111111</v>
      </c>
      <c r="AS23" s="170">
        <f ca="1">INDEX('Cap based on indoor unit SZ'!$J$6:$J$21,MATCH(AF23,'Cap based on indoor unit SZ'!$I$6:$I$21))</f>
        <v>24.452222222222218</v>
      </c>
      <c r="AT23" s="179"/>
      <c r="AU23" s="179"/>
      <c r="AV23" s="179"/>
      <c r="AW23" s="169">
        <f t="shared" si="24"/>
        <v>33</v>
      </c>
      <c r="AX23" s="170">
        <v>9</v>
      </c>
      <c r="AY23" s="170">
        <v>24</v>
      </c>
      <c r="AZ23" s="179"/>
      <c r="BA23" s="179"/>
      <c r="BB23" s="179"/>
      <c r="BC23" s="172">
        <f t="shared" ca="1" si="25"/>
        <v>36.973333333333329</v>
      </c>
      <c r="BD23" s="173">
        <f t="shared" ca="1" si="26"/>
        <v>10.083636363636362</v>
      </c>
      <c r="BE23" s="173">
        <f t="shared" ca="1" si="27"/>
        <v>26.889696969696963</v>
      </c>
      <c r="BF23" s="180"/>
      <c r="BG23" s="180"/>
      <c r="BH23" s="180"/>
      <c r="BI23" s="166">
        <f t="shared" ca="1" si="28"/>
        <v>36.671999999999997</v>
      </c>
      <c r="BJ23" s="167">
        <f t="shared" ca="1" si="29"/>
        <v>10.001454545454546</v>
      </c>
      <c r="BK23" s="167">
        <f t="shared" ca="1" si="30"/>
        <v>26.670545454545454</v>
      </c>
      <c r="BL23" s="178"/>
      <c r="BM23" s="178"/>
      <c r="BN23" s="178"/>
      <c r="BO23" s="169">
        <f t="shared" ca="1" si="31"/>
        <v>42.246020512820515</v>
      </c>
      <c r="BP23" s="170">
        <f ca="1">INDEX('Cap based on indoor unit SZ'!$V$43:$V$58,MATCH(AE23,'Cap based on indoor unit SZ'!$U$43:$U$58))</f>
        <v>11.956020512820512</v>
      </c>
      <c r="BQ23" s="170">
        <f ca="1">INDEX('Cap based on indoor unit SZ'!$V$43:$V$58,MATCH(AF23,'Cap based on indoor unit SZ'!$U$43:$U$58))</f>
        <v>30.290000000000003</v>
      </c>
      <c r="BR23" s="179"/>
      <c r="BS23" s="179"/>
      <c r="BT23" s="179"/>
      <c r="BU23" s="175">
        <v>10000</v>
      </c>
      <c r="BV23" s="175">
        <v>25000</v>
      </c>
      <c r="BW23" s="179"/>
      <c r="BX23" s="179"/>
      <c r="BY23" s="179"/>
      <c r="BZ23" s="172">
        <f t="shared" ca="1" si="32"/>
        <v>36.671999999999997</v>
      </c>
      <c r="CA23" s="173">
        <f t="shared" ca="1" si="33"/>
        <v>10.001454545454546</v>
      </c>
      <c r="CB23" s="173">
        <f t="shared" ca="1" si="34"/>
        <v>26.670545454545454</v>
      </c>
      <c r="CC23" s="180"/>
      <c r="CD23" s="180"/>
      <c r="CE23" s="180"/>
      <c r="CF23" s="166">
        <f t="shared" ca="1" si="35"/>
        <v>25.863058696595839</v>
      </c>
      <c r="CG23" s="167">
        <f t="shared" ca="1" si="36"/>
        <v>7.5513883200414424</v>
      </c>
      <c r="CH23" s="167">
        <f t="shared" ca="1" si="36"/>
        <v>18.311670376554396</v>
      </c>
      <c r="CI23" s="178"/>
      <c r="CJ23" s="178"/>
      <c r="CK23" s="178"/>
    </row>
    <row r="24" spans="1:89">
      <c r="B24" s="527" t="s">
        <v>9</v>
      </c>
      <c r="C24" s="532" t="s">
        <v>1</v>
      </c>
      <c r="D24" s="532"/>
      <c r="E24" s="532"/>
      <c r="F24" s="505" t="s">
        <v>10</v>
      </c>
      <c r="G24" s="506"/>
      <c r="H24" s="506"/>
      <c r="I24" s="506"/>
      <c r="J24" s="506"/>
      <c r="K24" s="506"/>
      <c r="L24" s="506"/>
      <c r="M24" s="506"/>
      <c r="N24" s="506"/>
      <c r="O24" s="506"/>
      <c r="P24" s="506"/>
      <c r="Q24" s="507"/>
      <c r="R24" s="6"/>
      <c r="AC24" s="164" t="s">
        <v>227</v>
      </c>
      <c r="AD24" s="164">
        <v>30</v>
      </c>
      <c r="AE24" s="165">
        <v>12</v>
      </c>
      <c r="AF24" s="165">
        <v>12</v>
      </c>
      <c r="AG24" s="165"/>
      <c r="AH24" s="164"/>
      <c r="AI24" s="164"/>
      <c r="AJ24" s="501"/>
      <c r="AK24" s="166">
        <f t="shared" ca="1" si="20"/>
        <v>26.157777777777781</v>
      </c>
      <c r="AL24" s="167">
        <f t="shared" ca="1" si="21"/>
        <v>13.078888888888891</v>
      </c>
      <c r="AM24" s="167">
        <f t="shared" ca="1" si="22"/>
        <v>13.078888888888891</v>
      </c>
      <c r="AN24" s="178"/>
      <c r="AO24" s="178"/>
      <c r="AP24" s="178"/>
      <c r="AQ24" s="169">
        <f t="shared" ca="1" si="23"/>
        <v>26.157777777777781</v>
      </c>
      <c r="AR24" s="170">
        <f ca="1">INDEX('Cap based on indoor unit SZ'!$J$6:$J$21,MATCH(AE24,'Cap based on indoor unit SZ'!$I$6:$I$21))</f>
        <v>13.078888888888891</v>
      </c>
      <c r="AS24" s="170">
        <f ca="1">INDEX('Cap based on indoor unit SZ'!$J$6:$J$21,MATCH(AF24,'Cap based on indoor unit SZ'!$I$6:$I$21))</f>
        <v>13.078888888888891</v>
      </c>
      <c r="AT24" s="179"/>
      <c r="AU24" s="179"/>
      <c r="AV24" s="179"/>
      <c r="AW24" s="169">
        <f t="shared" si="24"/>
        <v>24</v>
      </c>
      <c r="AX24" s="170">
        <v>12</v>
      </c>
      <c r="AY24" s="170">
        <v>12</v>
      </c>
      <c r="AZ24" s="179"/>
      <c r="BA24" s="179"/>
      <c r="BB24" s="179"/>
      <c r="BC24" s="172">
        <f t="shared" ca="1" si="25"/>
        <v>36.973333333333329</v>
      </c>
      <c r="BD24" s="173">
        <f t="shared" ca="1" si="26"/>
        <v>18.486666666666665</v>
      </c>
      <c r="BE24" s="173">
        <f t="shared" ca="1" si="27"/>
        <v>18.486666666666665</v>
      </c>
      <c r="BF24" s="180"/>
      <c r="BG24" s="180"/>
      <c r="BH24" s="180"/>
      <c r="BI24" s="166">
        <f t="shared" ca="1" si="28"/>
        <v>29.890051282051282</v>
      </c>
      <c r="BJ24" s="167">
        <f t="shared" ca="1" si="29"/>
        <v>14.945025641025641</v>
      </c>
      <c r="BK24" s="167">
        <f t="shared" ca="1" si="30"/>
        <v>14.945025641025641</v>
      </c>
      <c r="BL24" s="178"/>
      <c r="BM24" s="178"/>
      <c r="BN24" s="178"/>
      <c r="BO24" s="169">
        <f t="shared" ca="1" si="31"/>
        <v>29.890051282051282</v>
      </c>
      <c r="BP24" s="170">
        <f ca="1">INDEX('Cap based on indoor unit SZ'!$V$43:$V$58,MATCH(AE24,'Cap based on indoor unit SZ'!$U$43:$U$58))</f>
        <v>14.945025641025641</v>
      </c>
      <c r="BQ24" s="170">
        <f ca="1">INDEX('Cap based on indoor unit SZ'!$V$43:$V$58,MATCH(AF24,'Cap based on indoor unit SZ'!$U$43:$U$58))</f>
        <v>14.945025641025641</v>
      </c>
      <c r="BR24" s="179"/>
      <c r="BS24" s="179"/>
      <c r="BT24" s="179"/>
      <c r="BU24" s="175">
        <v>13000</v>
      </c>
      <c r="BV24" s="175">
        <v>13000</v>
      </c>
      <c r="BW24" s="179"/>
      <c r="BX24" s="179"/>
      <c r="BY24" s="179"/>
      <c r="BZ24" s="172">
        <f t="shared" ca="1" si="32"/>
        <v>36.672000000000004</v>
      </c>
      <c r="CA24" s="173">
        <f t="shared" ca="1" si="33"/>
        <v>18.336000000000002</v>
      </c>
      <c r="CB24" s="173">
        <f t="shared" ca="1" si="34"/>
        <v>18.336000000000002</v>
      </c>
      <c r="CC24" s="180"/>
      <c r="CD24" s="180"/>
      <c r="CE24" s="180"/>
      <c r="CF24" s="166">
        <f t="shared" ca="1" si="35"/>
        <v>19.58891916230489</v>
      </c>
      <c r="CG24" s="167">
        <f t="shared" ca="1" si="36"/>
        <v>9.7944595811524451</v>
      </c>
      <c r="CH24" s="167">
        <f t="shared" ca="1" si="36"/>
        <v>9.7944595811524451</v>
      </c>
      <c r="CI24" s="178"/>
      <c r="CJ24" s="178"/>
      <c r="CK24" s="178"/>
    </row>
    <row r="25" spans="1:89">
      <c r="B25" s="527"/>
      <c r="C25" s="502" t="s">
        <v>11</v>
      </c>
      <c r="D25" s="502"/>
      <c r="E25" s="508"/>
      <c r="F25" s="152"/>
      <c r="G25" s="152"/>
      <c r="H25" s="152"/>
      <c r="I25" s="152"/>
      <c r="J25" s="152"/>
      <c r="K25" s="152"/>
      <c r="L25" s="152"/>
      <c r="M25" s="152"/>
      <c r="N25" s="152"/>
      <c r="O25" s="152"/>
      <c r="P25" s="152"/>
      <c r="Q25" s="152"/>
      <c r="R25" s="6"/>
      <c r="AA25" s="293"/>
      <c r="AC25" s="164" t="s">
        <v>224</v>
      </c>
      <c r="AD25" s="164">
        <v>30</v>
      </c>
      <c r="AE25" s="165">
        <v>12</v>
      </c>
      <c r="AF25" s="165">
        <v>18</v>
      </c>
      <c r="AG25" s="165"/>
      <c r="AH25" s="164"/>
      <c r="AI25" s="164"/>
      <c r="AJ25" s="501"/>
      <c r="AK25" s="166">
        <f t="shared" ca="1" si="20"/>
        <v>32.900000000000006</v>
      </c>
      <c r="AL25" s="167">
        <f t="shared" ca="1" si="21"/>
        <v>13.078888888888891</v>
      </c>
      <c r="AM25" s="167">
        <f t="shared" ca="1" si="22"/>
        <v>19.821111111111112</v>
      </c>
      <c r="AN25" s="178"/>
      <c r="AO25" s="178"/>
      <c r="AP25" s="178"/>
      <c r="AQ25" s="169">
        <f t="shared" ca="1" si="23"/>
        <v>32.900000000000006</v>
      </c>
      <c r="AR25" s="170">
        <f ca="1">INDEX('Cap based on indoor unit SZ'!$J$6:$J$21,MATCH(AE25,'Cap based on indoor unit SZ'!$I$6:$I$21))</f>
        <v>13.078888888888891</v>
      </c>
      <c r="AS25" s="170">
        <f ca="1">INDEX('Cap based on indoor unit SZ'!$J$6:$J$21,MATCH(AF25,'Cap based on indoor unit SZ'!$I$6:$I$21))</f>
        <v>19.821111111111112</v>
      </c>
      <c r="AT25" s="179"/>
      <c r="AU25" s="179"/>
      <c r="AV25" s="179"/>
      <c r="AW25" s="169">
        <f t="shared" si="24"/>
        <v>30</v>
      </c>
      <c r="AX25" s="170">
        <v>12</v>
      </c>
      <c r="AY25" s="170">
        <v>18</v>
      </c>
      <c r="AZ25" s="179"/>
      <c r="BA25" s="179"/>
      <c r="BB25" s="179"/>
      <c r="BC25" s="172">
        <f t="shared" ca="1" si="25"/>
        <v>36.973333333333336</v>
      </c>
      <c r="BD25" s="173">
        <f t="shared" ca="1" si="26"/>
        <v>14.789333333333333</v>
      </c>
      <c r="BE25" s="173">
        <f t="shared" ca="1" si="27"/>
        <v>22.184000000000001</v>
      </c>
      <c r="BF25" s="180"/>
      <c r="BG25" s="180"/>
      <c r="BH25" s="180"/>
      <c r="BI25" s="166">
        <f t="shared" ca="1" si="28"/>
        <v>36.672000000000004</v>
      </c>
      <c r="BJ25" s="167">
        <f t="shared" ca="1" si="29"/>
        <v>14.668800000000001</v>
      </c>
      <c r="BK25" s="167">
        <f t="shared" ca="1" si="30"/>
        <v>22.003200000000003</v>
      </c>
      <c r="BL25" s="178"/>
      <c r="BM25" s="178"/>
      <c r="BN25" s="178"/>
      <c r="BO25" s="169">
        <f t="shared" ca="1" si="31"/>
        <v>39.543846153846154</v>
      </c>
      <c r="BP25" s="170">
        <f ca="1">INDEX('Cap based on indoor unit SZ'!$V$43:$V$58,MATCH(AE25,'Cap based on indoor unit SZ'!$U$43:$U$58))</f>
        <v>14.945025641025641</v>
      </c>
      <c r="BQ25" s="170">
        <f ca="1">INDEX('Cap based on indoor unit SZ'!$V$43:$V$58,MATCH(AF25,'Cap based on indoor unit SZ'!$U$43:$U$58))</f>
        <v>24.598820512820513</v>
      </c>
      <c r="BR25" s="179"/>
      <c r="BS25" s="179"/>
      <c r="BT25" s="179"/>
      <c r="BU25" s="175">
        <v>13000</v>
      </c>
      <c r="BV25" s="175">
        <v>18000</v>
      </c>
      <c r="BW25" s="179"/>
      <c r="BX25" s="179"/>
      <c r="BY25" s="179"/>
      <c r="BZ25" s="172">
        <f t="shared" ca="1" si="32"/>
        <v>36.672000000000004</v>
      </c>
      <c r="CA25" s="173">
        <f t="shared" ca="1" si="33"/>
        <v>14.668800000000001</v>
      </c>
      <c r="CB25" s="173">
        <f t="shared" ca="1" si="34"/>
        <v>22.003200000000003</v>
      </c>
      <c r="CC25" s="180"/>
      <c r="CD25" s="180"/>
      <c r="CE25" s="180"/>
      <c r="CF25" s="166">
        <f t="shared" ca="1" si="35"/>
        <v>24.638004264541998</v>
      </c>
      <c r="CG25" s="167">
        <f t="shared" ca="1" si="36"/>
        <v>9.7944595811524451</v>
      </c>
      <c r="CH25" s="167">
        <f t="shared" ca="1" si="36"/>
        <v>14.843544683389554</v>
      </c>
      <c r="CI25" s="178"/>
      <c r="CJ25" s="178"/>
      <c r="CK25" s="178"/>
    </row>
    <row r="26" spans="1:89" ht="14.4" thickBot="1">
      <c r="B26" s="527"/>
      <c r="C26" s="260" t="s">
        <v>13</v>
      </c>
      <c r="D26" s="260" t="s">
        <v>14</v>
      </c>
      <c r="E26" s="509"/>
      <c r="F26" s="185">
        <v>-13</v>
      </c>
      <c r="G26" s="185">
        <v>-4</v>
      </c>
      <c r="H26" s="186">
        <v>0</v>
      </c>
      <c r="I26" s="186">
        <v>5</v>
      </c>
      <c r="J26" s="186">
        <v>17</v>
      </c>
      <c r="K26" s="186">
        <v>47</v>
      </c>
      <c r="L26" s="187">
        <v>77</v>
      </c>
      <c r="M26" s="187">
        <v>86</v>
      </c>
      <c r="N26" s="187">
        <v>95</v>
      </c>
      <c r="O26" s="187">
        <v>104</v>
      </c>
      <c r="P26" s="187">
        <v>113</v>
      </c>
      <c r="Q26" s="187">
        <v>122.0001</v>
      </c>
      <c r="R26" s="6"/>
      <c r="S26" s="152"/>
      <c r="T26" s="153"/>
      <c r="U26" s="154"/>
      <c r="V26" s="154" t="s">
        <v>98</v>
      </c>
      <c r="W26" s="154" t="s">
        <v>76</v>
      </c>
      <c r="X26" s="154" t="s">
        <v>99</v>
      </c>
      <c r="AC26" s="164" t="s">
        <v>184</v>
      </c>
      <c r="AD26" s="164">
        <v>30</v>
      </c>
      <c r="AE26" s="165">
        <v>12</v>
      </c>
      <c r="AF26" s="165">
        <v>24</v>
      </c>
      <c r="AG26" s="165"/>
      <c r="AH26" s="164"/>
      <c r="AI26" s="164"/>
      <c r="AJ26" s="501"/>
      <c r="AK26" s="166">
        <f t="shared" ca="1" si="20"/>
        <v>36.776666666666657</v>
      </c>
      <c r="AL26" s="167">
        <f t="shared" ca="1" si="21"/>
        <v>12.324444444444442</v>
      </c>
      <c r="AM26" s="167">
        <f t="shared" ca="1" si="22"/>
        <v>24.452222222222218</v>
      </c>
      <c r="AN26" s="178"/>
      <c r="AO26" s="178"/>
      <c r="AP26" s="178"/>
      <c r="AQ26" s="169">
        <f t="shared" ca="1" si="23"/>
        <v>37.531111111111109</v>
      </c>
      <c r="AR26" s="170">
        <f ca="1">INDEX('Cap based on indoor unit SZ'!$J$6:$J$21,MATCH(AE26,'Cap based on indoor unit SZ'!$I$6:$I$21))</f>
        <v>13.078888888888891</v>
      </c>
      <c r="AS26" s="170">
        <f ca="1">INDEX('Cap based on indoor unit SZ'!$J$6:$J$21,MATCH(AF26,'Cap based on indoor unit SZ'!$I$6:$I$21))</f>
        <v>24.452222222222218</v>
      </c>
      <c r="AT26" s="179"/>
      <c r="AU26" s="179"/>
      <c r="AV26" s="179"/>
      <c r="AW26" s="169">
        <f t="shared" si="24"/>
        <v>34</v>
      </c>
      <c r="AX26" s="170">
        <v>11</v>
      </c>
      <c r="AY26" s="170">
        <v>23</v>
      </c>
      <c r="AZ26" s="179"/>
      <c r="BA26" s="179"/>
      <c r="BB26" s="179"/>
      <c r="BC26" s="172">
        <f t="shared" ca="1" si="25"/>
        <v>36.973333333333329</v>
      </c>
      <c r="BD26" s="173">
        <f t="shared" ca="1" si="26"/>
        <v>12.324444444444442</v>
      </c>
      <c r="BE26" s="173">
        <f t="shared" ca="1" si="27"/>
        <v>24.648888888888884</v>
      </c>
      <c r="BF26" s="180"/>
      <c r="BG26" s="180"/>
      <c r="BH26" s="180"/>
      <c r="BI26" s="166">
        <f t="shared" ca="1" si="28"/>
        <v>36.671999999999997</v>
      </c>
      <c r="BJ26" s="167">
        <f t="shared" ca="1" si="29"/>
        <v>12.224</v>
      </c>
      <c r="BK26" s="167">
        <f t="shared" ca="1" si="30"/>
        <v>24.448</v>
      </c>
      <c r="BL26" s="178"/>
      <c r="BM26" s="178"/>
      <c r="BN26" s="178"/>
      <c r="BO26" s="169">
        <f t="shared" ca="1" si="31"/>
        <v>45.235025641025643</v>
      </c>
      <c r="BP26" s="170">
        <f ca="1">INDEX('Cap based on indoor unit SZ'!$V$43:$V$58,MATCH(AE26,'Cap based on indoor unit SZ'!$U$43:$U$58))</f>
        <v>14.945025641025641</v>
      </c>
      <c r="BQ26" s="170">
        <f ca="1">INDEX('Cap based on indoor unit SZ'!$V$43:$V$58,MATCH(AF26,'Cap based on indoor unit SZ'!$U$43:$U$58))</f>
        <v>30.290000000000003</v>
      </c>
      <c r="BR26" s="179"/>
      <c r="BS26" s="179"/>
      <c r="BT26" s="179"/>
      <c r="BU26" s="175">
        <v>12000</v>
      </c>
      <c r="BV26" s="175">
        <v>24000</v>
      </c>
      <c r="BW26" s="179"/>
      <c r="BX26" s="179"/>
      <c r="BY26" s="179"/>
      <c r="BZ26" s="172">
        <f t="shared" ca="1" si="32"/>
        <v>36.671999999999997</v>
      </c>
      <c r="CA26" s="173">
        <f t="shared" ca="1" si="33"/>
        <v>12.224</v>
      </c>
      <c r="CB26" s="173">
        <f t="shared" ca="1" si="34"/>
        <v>24.448</v>
      </c>
      <c r="CC26" s="180"/>
      <c r="CD26" s="180"/>
      <c r="CE26" s="180"/>
      <c r="CF26" s="166">
        <f t="shared" ca="1" si="35"/>
        <v>27.541144989938381</v>
      </c>
      <c r="CG26" s="167">
        <f t="shared" ca="1" si="36"/>
        <v>9.2294746133839851</v>
      </c>
      <c r="CH26" s="167">
        <f t="shared" ca="1" si="36"/>
        <v>18.311670376554396</v>
      </c>
      <c r="CI26" s="178"/>
      <c r="CJ26" s="178"/>
      <c r="CK26" s="178"/>
    </row>
    <row r="27" spans="1:89">
      <c r="B27" s="188">
        <v>18</v>
      </c>
      <c r="C27" s="189">
        <v>69.8</v>
      </c>
      <c r="D27" s="189">
        <v>59</v>
      </c>
      <c r="E27" s="190" t="s">
        <v>15</v>
      </c>
      <c r="F27" s="191">
        <v>18.3</v>
      </c>
      <c r="G27" s="192">
        <v>18.649999999999999</v>
      </c>
      <c r="H27" s="192">
        <v>18.43</v>
      </c>
      <c r="I27" s="192">
        <v>18.75</v>
      </c>
      <c r="J27" s="192">
        <v>18.88</v>
      </c>
      <c r="K27" s="192">
        <v>19.12</v>
      </c>
      <c r="L27" s="193">
        <v>20.260000000000002</v>
      </c>
      <c r="M27" s="193">
        <v>18.47</v>
      </c>
      <c r="N27" s="193">
        <v>16.53</v>
      </c>
      <c r="O27" s="193">
        <v>11.28</v>
      </c>
      <c r="P27" s="193">
        <v>10.64</v>
      </c>
      <c r="Q27" s="194">
        <v>9.86</v>
      </c>
      <c r="R27" s="195">
        <f t="shared" ref="R27:R46" ca="1" si="37">FORECAST(Cool_Design_T,OFFSET(F27:Q27,0,MATCH(Cool_Design_T,$F$26:$Q$26,1)-1,1,2),OFFSET($F$26:$Q$26,0,MATCH(Cool_Design_T,$F$26:$Q$26,1)-1,1,2))</f>
        <v>16.530000000000008</v>
      </c>
      <c r="S27" s="145"/>
      <c r="T27" s="145"/>
      <c r="U27" s="146" t="s">
        <v>96</v>
      </c>
      <c r="V27" s="147">
        <f ca="1">FORECAST(INDOOR_DB,OFFSET(R27:R30,MATCH(INDOOR_DB,C27:C30,1)-1,0,2),OFFSET(C27:C30,MATCH(INDOOR_DB,C27:C30,1)-1,0,2))</f>
        <v>20.232222222222219</v>
      </c>
      <c r="W27" s="145">
        <f>B27</f>
        <v>18</v>
      </c>
      <c r="X27" s="147">
        <f ca="1">IF(OR(INDOOR_DB&lt;C27,INDOOR_DB&gt;C30),V29,V27)</f>
        <v>20.232222222222219</v>
      </c>
      <c r="AC27" s="164" t="s">
        <v>183</v>
      </c>
      <c r="AD27" s="164">
        <v>30</v>
      </c>
      <c r="AE27" s="165">
        <v>18</v>
      </c>
      <c r="AF27" s="165">
        <v>18</v>
      </c>
      <c r="AG27" s="165"/>
      <c r="AH27" s="164"/>
      <c r="AI27" s="164"/>
      <c r="AJ27" s="501"/>
      <c r="AK27" s="166">
        <f t="shared" ca="1" si="20"/>
        <v>36.973333333333329</v>
      </c>
      <c r="AL27" s="167">
        <f t="shared" ca="1" si="21"/>
        <v>18.486666666666665</v>
      </c>
      <c r="AM27" s="167">
        <f t="shared" ca="1" si="22"/>
        <v>18.486666666666665</v>
      </c>
      <c r="AN27" s="178"/>
      <c r="AO27" s="178"/>
      <c r="AP27" s="178"/>
      <c r="AQ27" s="169">
        <f t="shared" ca="1" si="23"/>
        <v>39.642222222222223</v>
      </c>
      <c r="AR27" s="170">
        <f ca="1">INDEX('Cap based on indoor unit SZ'!$J$6:$J$21,MATCH(AE27,'Cap based on indoor unit SZ'!$I$6:$I$21))</f>
        <v>19.821111111111112</v>
      </c>
      <c r="AS27" s="170">
        <f ca="1">INDEX('Cap based on indoor unit SZ'!$J$6:$J$21,MATCH(AF27,'Cap based on indoor unit SZ'!$I$6:$I$21))</f>
        <v>19.821111111111112</v>
      </c>
      <c r="AT27" s="179"/>
      <c r="AU27" s="179"/>
      <c r="AV27" s="179"/>
      <c r="AW27" s="169">
        <f t="shared" si="24"/>
        <v>33</v>
      </c>
      <c r="AX27" s="170">
        <v>16.5</v>
      </c>
      <c r="AY27" s="170">
        <v>16.5</v>
      </c>
      <c r="AZ27" s="179"/>
      <c r="BA27" s="179"/>
      <c r="BB27" s="179"/>
      <c r="BC27" s="172">
        <f t="shared" ca="1" si="25"/>
        <v>36.973333333333329</v>
      </c>
      <c r="BD27" s="173">
        <f t="shared" ca="1" si="26"/>
        <v>18.486666666666665</v>
      </c>
      <c r="BE27" s="173">
        <f t="shared" ca="1" si="27"/>
        <v>18.486666666666665</v>
      </c>
      <c r="BF27" s="180"/>
      <c r="BG27" s="180"/>
      <c r="BH27" s="180"/>
      <c r="BI27" s="166">
        <f t="shared" ca="1" si="28"/>
        <v>36.672000000000004</v>
      </c>
      <c r="BJ27" s="167">
        <f t="shared" ca="1" si="29"/>
        <v>18.336000000000002</v>
      </c>
      <c r="BK27" s="167">
        <f t="shared" ca="1" si="30"/>
        <v>18.336000000000002</v>
      </c>
      <c r="BL27" s="178"/>
      <c r="BM27" s="178"/>
      <c r="BN27" s="178"/>
      <c r="BO27" s="169">
        <f t="shared" ca="1" si="31"/>
        <v>49.197641025641026</v>
      </c>
      <c r="BP27" s="170">
        <f ca="1">INDEX('Cap based on indoor unit SZ'!$V$43:$V$58,MATCH(AE27,'Cap based on indoor unit SZ'!$U$43:$U$58))</f>
        <v>24.598820512820513</v>
      </c>
      <c r="BQ27" s="170">
        <f ca="1">INDEX('Cap based on indoor unit SZ'!$V$43:$V$58,MATCH(AF27,'Cap based on indoor unit SZ'!$U$43:$U$58))</f>
        <v>24.598820512820513</v>
      </c>
      <c r="BR27" s="179"/>
      <c r="BS27" s="179"/>
      <c r="BT27" s="179"/>
      <c r="BU27" s="175">
        <v>17000</v>
      </c>
      <c r="BV27" s="175">
        <v>17000</v>
      </c>
      <c r="BW27" s="179"/>
      <c r="BX27" s="179"/>
      <c r="BY27" s="179"/>
      <c r="BZ27" s="172">
        <f t="shared" ca="1" si="32"/>
        <v>36.672000000000004</v>
      </c>
      <c r="CA27" s="173">
        <f t="shared" ca="1" si="33"/>
        <v>18.336000000000002</v>
      </c>
      <c r="CB27" s="173">
        <f t="shared" ca="1" si="34"/>
        <v>18.336000000000002</v>
      </c>
      <c r="CC27" s="180"/>
      <c r="CD27" s="180"/>
      <c r="CE27" s="180"/>
      <c r="CF27" s="166">
        <f t="shared" ca="1" si="35"/>
        <v>27.688423840151955</v>
      </c>
      <c r="CG27" s="167">
        <f t="shared" ca="1" si="36"/>
        <v>13.844211920075978</v>
      </c>
      <c r="CH27" s="167">
        <f t="shared" ca="1" si="36"/>
        <v>13.844211920075978</v>
      </c>
      <c r="CI27" s="178"/>
      <c r="CJ27" s="178"/>
      <c r="CK27" s="178"/>
    </row>
    <row r="28" spans="1:89">
      <c r="B28" s="196">
        <v>18</v>
      </c>
      <c r="C28" s="197">
        <v>75.2</v>
      </c>
      <c r="D28" s="197">
        <v>62.6</v>
      </c>
      <c r="E28" s="198" t="s">
        <v>15</v>
      </c>
      <c r="F28" s="199">
        <v>19.760000000000002</v>
      </c>
      <c r="G28" s="200">
        <v>20.14</v>
      </c>
      <c r="H28" s="200">
        <v>19.899999999999999</v>
      </c>
      <c r="I28" s="200">
        <v>20.25</v>
      </c>
      <c r="J28" s="200">
        <v>20.39</v>
      </c>
      <c r="K28" s="200">
        <v>20.65</v>
      </c>
      <c r="L28" s="201">
        <v>21.88</v>
      </c>
      <c r="M28" s="201">
        <v>19.95</v>
      </c>
      <c r="N28" s="201">
        <v>17.850000000000001</v>
      </c>
      <c r="O28" s="201">
        <v>12.18</v>
      </c>
      <c r="P28" s="201">
        <v>11.49</v>
      </c>
      <c r="Q28" s="202">
        <v>10.130000000000001</v>
      </c>
      <c r="R28" s="203">
        <f t="shared" ca="1" si="37"/>
        <v>17.849999999999994</v>
      </c>
      <c r="S28" s="145"/>
      <c r="T28" s="145"/>
      <c r="U28" s="146"/>
      <c r="V28" s="148"/>
      <c r="W28" s="145"/>
      <c r="X28" s="152"/>
      <c r="AC28" s="164" t="s">
        <v>222</v>
      </c>
      <c r="AD28" s="164">
        <v>30</v>
      </c>
      <c r="AE28" s="165">
        <v>9</v>
      </c>
      <c r="AF28" s="165">
        <v>9</v>
      </c>
      <c r="AG28" s="165">
        <v>9</v>
      </c>
      <c r="AH28" s="164"/>
      <c r="AI28" s="164"/>
      <c r="AJ28" s="510">
        <v>3</v>
      </c>
      <c r="AK28" s="166">
        <f t="shared" ca="1" si="20"/>
        <v>31.389333333333333</v>
      </c>
      <c r="AL28" s="167">
        <f t="shared" ref="AL28:AL39" ca="1" si="38">IF((INDEX($AA$4:$AA$7,MATCH(INDOOR_1,$Z$4:$Z$7))*(INDEX($X$27:$X$46,MATCH($AD28,$W$27:$W$46,1))/(INDEX($AA$4:$AA$7,MATCH(INDOOR_1,$Z$4:$Z$7))+INDEX($AA$4:$AA$7,MATCH(INDOOR_2,$Z$4:$Z$7))+INDEX($AA$4:$AA$7,MATCH(INDOOR_3,$Z$4:$Z$7)))))
&gt;AR28,AR28,
(INDEX($AA$4:$AA$7,MATCH(INDOOR_1,$Z$4:$Z$7))*(INDEX($X$27:$X$46,MATCH($AD28,$W$27:$W$46,1))/(INDEX($AA$4:$AA$7,MATCH(INDOOR_1,$Z$4:$Z$7))+INDEX($AA$4:$AA$7,MATCH(INDOOR_2,$Z$4:$Z$7))+INDEX($AA$4:$AA$7,MATCH(INDOOR_3,$Z$4:$Z$7))))))</f>
        <v>10.463111111111111</v>
      </c>
      <c r="AM28" s="167">
        <f t="shared" ref="AM28:AM39" ca="1" si="39">IF((INDEX($AA$4:$AA$7,MATCH(INDOOR_2,$Z$4:$Z$7))*(INDEX($X$27:$X$46,MATCH($AD28,$W$27:$W$46,1))/(INDEX($AA$4:$AA$7,MATCH(INDOOR_1,$Z$4:$Z$7))+INDEX($AA$4:$AA$7,MATCH(INDOOR_2,$Z$4:$Z$7))+INDEX($AA$4:$AA$7,MATCH(INDOOR_3,$Z$4:$Z$7)))))
&gt;AS28,AS28,
(INDEX($AA$4:$AA$7,MATCH(INDOOR_2,$Z$4:$Z$7))*(INDEX($X$27:$X$46,MATCH($AD28,$W$27:$W$46,1))/(INDEX($AA$4:$AA$7,MATCH(INDOOR_1,$Z$4:$Z$7))+INDEX($AA$4:$AA$7,MATCH(INDOOR_2,$Z$4:$Z$7))+INDEX($AA$4:$AA$7,MATCH(INDOOR_3,$Z$4:$Z$7))))))</f>
        <v>10.463111111111111</v>
      </c>
      <c r="AN28" s="167">
        <f t="shared" ref="AN28:AN39" ca="1" si="40">IF((INDEX($AA$4:$AA$7,MATCH(INDOOR_3,$Z$4:$Z$7))*(INDEX($X$27:$X$46,MATCH($AD28,$W$27:$W$46,1))/(INDEX($AA$4:$AA$7,MATCH(INDOOR_1,$Z$4:$Z$7))+INDEX($AA$4:$AA$7,MATCH(INDOOR_2,$Z$4:$Z$7))+INDEX($AA$4:$AA$7,MATCH(INDOOR_3,$Z$4:$Z$7)))))
&gt;AT28,AT28,
(INDEX($AA$4:$AA$7,MATCH(INDOOR_3,$Z$4:$Z$7))*(INDEX($X$27:$X$46,MATCH($AD28,$W$27:$W$46,1))/(INDEX($AA$4:$AA$7,MATCH(INDOOR_1,$Z$4:$Z$7))+INDEX($AA$4:$AA$7,MATCH(INDOOR_2,$Z$4:$Z$7))+INDEX($AA$4:$AA$7,MATCH(INDOOR_3,$Z$4:$Z$7))))))</f>
        <v>10.463111111111111</v>
      </c>
      <c r="AO28" s="178"/>
      <c r="AP28" s="178"/>
      <c r="AQ28" s="169">
        <f t="shared" ca="1" si="23"/>
        <v>31.389333333333333</v>
      </c>
      <c r="AR28" s="170">
        <f ca="1">INDEX('Cap based on indoor unit SZ'!$J$6:$J$21,MATCH(AE28,'Cap based on indoor unit SZ'!$I$6:$I$21))</f>
        <v>10.463111111111111</v>
      </c>
      <c r="AS28" s="170">
        <f ca="1">INDEX('Cap based on indoor unit SZ'!$J$6:$J$21,MATCH(AF28,'Cap based on indoor unit SZ'!$I$6:$I$21))</f>
        <v>10.463111111111111</v>
      </c>
      <c r="AT28" s="170">
        <f ca="1">INDEX('Cap based on indoor unit SZ'!$J$6:$J$21,MATCH(AG28,'Cap based on indoor unit SZ'!$I$6:$I$21))</f>
        <v>10.463111111111111</v>
      </c>
      <c r="AU28" s="179"/>
      <c r="AV28" s="179"/>
      <c r="AW28" s="169">
        <f t="shared" si="24"/>
        <v>27.999000000000002</v>
      </c>
      <c r="AX28" s="170">
        <v>9.3330000000000002</v>
      </c>
      <c r="AY28" s="170">
        <v>9.3330000000000002</v>
      </c>
      <c r="AZ28" s="170">
        <v>9.3330000000000002</v>
      </c>
      <c r="BA28" s="179"/>
      <c r="BB28" s="179"/>
      <c r="BC28" s="172">
        <f t="shared" ca="1" si="25"/>
        <v>36.973333333333329</v>
      </c>
      <c r="BD28" s="173">
        <f t="shared" ref="BD28:BF39" ca="1" si="41">(INDEX($AA$4:$AA$7,MATCH(AE28,$Z$4:$Z$7))*(INDEX($X$27:$X$46,MATCH($AD28,$W$27:$W$46,1))/(INDEX($AA$4:$AA$7,MATCH($AE28,$Z$4:$Z$7))+INDEX($AA$4:$AA$7,MATCH($AF28,$Z$4:$Z$7))+INDEX($AA$4:$AA$7,MATCH($AG28,$Z$4:$Z$7)))))</f>
        <v>12.324444444444444</v>
      </c>
      <c r="BE28" s="173">
        <f t="shared" ca="1" si="41"/>
        <v>12.324444444444444</v>
      </c>
      <c r="BF28" s="173">
        <f t="shared" ca="1" si="41"/>
        <v>12.324444444444444</v>
      </c>
      <c r="BG28" s="180"/>
      <c r="BH28" s="180"/>
      <c r="BI28" s="166">
        <f t="shared" ca="1" si="28"/>
        <v>35.868061538461532</v>
      </c>
      <c r="BJ28" s="167">
        <f t="shared" ref="BJ28:BJ39" ca="1" si="42">IF((INDEX($AA$4:$AA$7,MATCH(INDOOR_1,$Z$4:$Z$7))*(INDEX($X$118:$X$137,MATCH($AD28,$W$118:$W$137,1))/(INDEX($AA$4:$AA$7,MATCH(INDOOR_1,$Z$4:$Z$7))+INDEX($AA$4:$AA$7,MATCH(INDOOR_2,$Z$4:$Z$7))+INDEX($AA$4:$AA$7,MATCH(INDOOR_3,$Z$4:$Z$7)))))
&gt;BP28,BP28,
(INDEX($AA$4:$AA$7,MATCH(INDOOR_1,$Z$4:$Z$7))*(INDEX($X$118:$X$137,MATCH($AD28,$W$118:$W$137,1))/(INDEX($AA$4:$AA$7,MATCH(INDOOR_1,$Z$4:$Z$7))+INDEX($AA$4:$AA$7,MATCH(INDOOR_2,$Z$4:$Z$7))+INDEX($AA$4:$AA$7,MATCH(INDOOR_3,$Z$4:$Z$7))))))</f>
        <v>11.956020512820512</v>
      </c>
      <c r="BK28" s="167">
        <f t="shared" ref="BK28:BK39" ca="1" si="43">IF((INDEX($AA$4:$AA$7,MATCH(INDOOR_2,$Z$4:$Z$7))*(INDEX($X$118:$X$137,MATCH($AD28,$W$118:$W$137,1))/(INDEX($AA$4:$AA$7,MATCH(INDOOR_1,$Z$4:$Z$7))+INDEX($AA$4:$AA$7,MATCH(INDOOR_2,$Z$4:$Z$7))+INDEX($AA$4:$AA$7,MATCH(INDOOR_3,$Z$4:$Z$7)))))
&gt;BQ28,BQ28,
(INDEX($AA$4:$AA$7,MATCH(INDOOR_2,$Z$4:$Z$7))*(INDEX($X$118:$X$137,MATCH($AD28,$W$118:$W$137,1))/(INDEX($AA$4:$AA$7,MATCH(INDOOR_1,$Z$4:$Z$7))+INDEX($AA$4:$AA$7,MATCH(INDOOR_2,$Z$4:$Z$7))+INDEX($AA$4:$AA$7,MATCH(INDOOR_3,$Z$4:$Z$7))))))</f>
        <v>11.956020512820512</v>
      </c>
      <c r="BL28" s="167">
        <f t="shared" ref="BL28:BL39" ca="1" si="44">IF((INDEX($AA$4:$AA$7,MATCH(INDOOR_3,$Z$4:$Z$7))*(INDEX($X$118:$X$137,MATCH($AD28,$W$118:$W$137,1))/(INDEX($AA$4:$AA$7,MATCH(INDOOR_1,$Z$4:$Z$7))+INDEX($AA$4:$AA$7,MATCH(INDOOR_2,$Z$4:$Z$7))+INDEX($AA$4:$AA$7,MATCH(INDOOR_3,$Z$4:$Z$7)))))
&gt;BR28,BR28,
(INDEX($AA$4:$AA$7,MATCH(INDOOR_3,$Z$4:$Z$7))*(INDEX($X$118:$X$137,MATCH($AD28,$W$118:$W$137,1))/(INDEX($AA$4:$AA$7,MATCH(INDOOR_1,$Z$4:$Z$7))+INDEX($AA$4:$AA$7,MATCH(INDOOR_2,$Z$4:$Z$7))+INDEX($AA$4:$AA$7,MATCH(INDOOR_3,$Z$4:$Z$7))))))</f>
        <v>11.956020512820512</v>
      </c>
      <c r="BM28" s="178"/>
      <c r="BN28" s="178"/>
      <c r="BO28" s="169">
        <f t="shared" ca="1" si="31"/>
        <v>35.868061538461532</v>
      </c>
      <c r="BP28" s="170">
        <f ca="1">INDEX('Cap based on indoor unit SZ'!$V$43:$V$58,MATCH(AE28,'Cap based on indoor unit SZ'!$U$43:$U$58))</f>
        <v>11.956020512820512</v>
      </c>
      <c r="BQ28" s="170">
        <f ca="1">INDEX('Cap based on indoor unit SZ'!$V$43:$V$58,MATCH(AF28,'Cap based on indoor unit SZ'!$U$43:$U$58))</f>
        <v>11.956020512820512</v>
      </c>
      <c r="BR28" s="170">
        <f ca="1">INDEX('Cap based on indoor unit SZ'!$V$43:$V$58,MATCH(AG28,'Cap based on indoor unit SZ'!$U$43:$U$58))</f>
        <v>11.956020512820512</v>
      </c>
      <c r="BS28" s="179"/>
      <c r="BT28" s="179"/>
      <c r="BU28" s="175">
        <v>9667</v>
      </c>
      <c r="BV28" s="175">
        <v>9667</v>
      </c>
      <c r="BW28" s="175">
        <v>9667</v>
      </c>
      <c r="BX28" s="179"/>
      <c r="BY28" s="179"/>
      <c r="BZ28" s="172">
        <f t="shared" ca="1" si="32"/>
        <v>36.672000000000004</v>
      </c>
      <c r="CA28" s="173">
        <f t="shared" ref="CA28:CA39" ca="1" si="45">(INDEX($AA$4:$AA$7,MATCH(INDOOR_1,$Z$4:$Z$7))*(INDEX($X$118:$X$137,MATCH($AD28,$W$118:$W$137,1))/(INDEX($AA$4:$AA$7,MATCH(INDOOR_1,$Z$4:$Z$7))+INDEX($AA$4:$AA$7,MATCH(INDOOR_2,$Z$4:$Z$7))+INDEX($AA$4:$AA$7,MATCH(INDOOR_3,$Z$4:$Z$7)))))</f>
        <v>12.224000000000002</v>
      </c>
      <c r="CB28" s="173">
        <f t="shared" ref="CB28:CB39" ca="1" si="46">(INDEX($AA$4:$AA$7,MATCH(INDOOR_2,$Z$4:$Z$7))*(INDEX($X$118:$X$137,MATCH($AD28,$W$118:$W$137,1))/(INDEX($AA$4:$AA$7,MATCH(INDOOR_1,$Z$4:$Z$7))+INDEX($AA$4:$AA$7,MATCH(INDOOR_2,$Z$4:$Z$7))+INDEX($AA$4:$AA$7,MATCH(INDOOR_3,$Z$4:$Z$7)))))</f>
        <v>12.224000000000002</v>
      </c>
      <c r="CC28" s="173">
        <f t="shared" ref="CC28:CC39" ca="1" si="47">(INDEX($AA$4:$AA$7,MATCH(INDOOR_3,$Z$4:$Z$7))*(INDEX($X$118:$X$137,MATCH($AD28,$W$118:$W$137,1))/(INDEX($AA$4:$AA$7,MATCH(INDOOR_1,$Z$4:$Z$7))+INDEX($AA$4:$AA$7,MATCH(INDOOR_2,$Z$4:$Z$7))+INDEX($AA$4:$AA$7,MATCH(INDOOR_3,$Z$4:$Z$7)))))</f>
        <v>12.224000000000002</v>
      </c>
      <c r="CD28" s="180"/>
      <c r="CE28" s="180"/>
      <c r="CF28" s="166">
        <f t="shared" ca="1" si="35"/>
        <v>23.506702994765867</v>
      </c>
      <c r="CG28" s="167">
        <f t="shared" ca="1" si="36"/>
        <v>7.835567664921955</v>
      </c>
      <c r="CH28" s="167">
        <f t="shared" ca="1" si="36"/>
        <v>7.835567664921955</v>
      </c>
      <c r="CI28" s="167">
        <f t="shared" ca="1" si="36"/>
        <v>7.835567664921955</v>
      </c>
      <c r="CJ28" s="178"/>
      <c r="CK28" s="178"/>
    </row>
    <row r="29" spans="1:89">
      <c r="B29" s="196">
        <v>18</v>
      </c>
      <c r="C29" s="197">
        <v>80.599999999999994</v>
      </c>
      <c r="D29" s="197">
        <v>66.2</v>
      </c>
      <c r="E29" s="198" t="s">
        <v>15</v>
      </c>
      <c r="F29" s="199">
        <v>21.14</v>
      </c>
      <c r="G29" s="200">
        <v>21.54</v>
      </c>
      <c r="H29" s="200">
        <v>21.61</v>
      </c>
      <c r="I29" s="200">
        <v>21.69</v>
      </c>
      <c r="J29" s="200">
        <v>21.86</v>
      </c>
      <c r="K29" s="200">
        <v>22.06</v>
      </c>
      <c r="L29" s="201">
        <v>23.06</v>
      </c>
      <c r="M29" s="201">
        <v>21.85</v>
      </c>
      <c r="N29" s="201">
        <v>20.53</v>
      </c>
      <c r="O29" s="201">
        <v>13.72</v>
      </c>
      <c r="P29" s="201">
        <v>11.56</v>
      </c>
      <c r="Q29" s="202">
        <v>10.61</v>
      </c>
      <c r="R29" s="203">
        <f t="shared" ca="1" si="37"/>
        <v>20.53</v>
      </c>
      <c r="S29" s="145"/>
      <c r="T29" s="145"/>
      <c r="U29" s="146" t="s">
        <v>97</v>
      </c>
      <c r="V29" s="147">
        <f ca="1">TREND(R27:R30,C27:C30,INDOOR_DB)</f>
        <v>19.690782828282828</v>
      </c>
      <c r="W29" s="145"/>
      <c r="X29" s="152"/>
      <c r="AC29" s="164" t="s">
        <v>219</v>
      </c>
      <c r="AD29" s="164">
        <v>30</v>
      </c>
      <c r="AE29" s="165">
        <v>9</v>
      </c>
      <c r="AF29" s="165">
        <v>9</v>
      </c>
      <c r="AG29" s="165">
        <v>12</v>
      </c>
      <c r="AH29" s="164"/>
      <c r="AI29" s="164"/>
      <c r="AJ29" s="501"/>
      <c r="AK29" s="166">
        <f t="shared" ca="1" si="20"/>
        <v>34.005111111111113</v>
      </c>
      <c r="AL29" s="167">
        <f t="shared" ca="1" si="38"/>
        <v>10.463111111111111</v>
      </c>
      <c r="AM29" s="167">
        <f t="shared" ca="1" si="39"/>
        <v>10.463111111111111</v>
      </c>
      <c r="AN29" s="167">
        <f t="shared" ca="1" si="40"/>
        <v>13.078888888888891</v>
      </c>
      <c r="AO29" s="178"/>
      <c r="AP29" s="178"/>
      <c r="AQ29" s="169">
        <f t="shared" ca="1" si="23"/>
        <v>34.005111111111113</v>
      </c>
      <c r="AR29" s="170">
        <f ca="1">INDEX('Cap based on indoor unit SZ'!$J$6:$J$21,MATCH(AE29,'Cap based on indoor unit SZ'!$I$6:$I$21))</f>
        <v>10.463111111111111</v>
      </c>
      <c r="AS29" s="170">
        <f ca="1">INDEX('Cap based on indoor unit SZ'!$J$6:$J$21,MATCH(AF29,'Cap based on indoor unit SZ'!$I$6:$I$21))</f>
        <v>10.463111111111111</v>
      </c>
      <c r="AT29" s="170">
        <f ca="1">INDEX('Cap based on indoor unit SZ'!$J$6:$J$21,MATCH(AG29,'Cap based on indoor unit SZ'!$I$6:$I$21))</f>
        <v>13.078888888888891</v>
      </c>
      <c r="AU29" s="179"/>
      <c r="AV29" s="179"/>
      <c r="AW29" s="169">
        <f t="shared" si="24"/>
        <v>30</v>
      </c>
      <c r="AX29" s="170">
        <v>9</v>
      </c>
      <c r="AY29" s="170">
        <v>9</v>
      </c>
      <c r="AZ29" s="170">
        <v>12</v>
      </c>
      <c r="BA29" s="179"/>
      <c r="BB29" s="179"/>
      <c r="BC29" s="172">
        <f t="shared" ca="1" si="25"/>
        <v>36.973333333333336</v>
      </c>
      <c r="BD29" s="173">
        <f t="shared" ca="1" si="41"/>
        <v>11.092000000000001</v>
      </c>
      <c r="BE29" s="173">
        <f t="shared" ca="1" si="41"/>
        <v>11.092000000000001</v>
      </c>
      <c r="BF29" s="173">
        <f t="shared" ca="1" si="41"/>
        <v>14.789333333333333</v>
      </c>
      <c r="BG29" s="180"/>
      <c r="BH29" s="180"/>
      <c r="BI29" s="166">
        <f t="shared" ca="1" si="28"/>
        <v>36.672000000000004</v>
      </c>
      <c r="BJ29" s="167">
        <f t="shared" ca="1" si="42"/>
        <v>11.001600000000002</v>
      </c>
      <c r="BK29" s="167">
        <f t="shared" ca="1" si="43"/>
        <v>11.001600000000002</v>
      </c>
      <c r="BL29" s="167">
        <f t="shared" ca="1" si="44"/>
        <v>14.668800000000001</v>
      </c>
      <c r="BM29" s="178"/>
      <c r="BN29" s="178"/>
      <c r="BO29" s="169">
        <f t="shared" ca="1" si="31"/>
        <v>38.857066666666668</v>
      </c>
      <c r="BP29" s="170">
        <f ca="1">INDEX('Cap based on indoor unit SZ'!$V$43:$V$58,MATCH(AE29,'Cap based on indoor unit SZ'!$U$43:$U$58))</f>
        <v>11.956020512820512</v>
      </c>
      <c r="BQ29" s="170">
        <f ca="1">INDEX('Cap based on indoor unit SZ'!$V$43:$V$58,MATCH(AF29,'Cap based on indoor unit SZ'!$U$43:$U$58))</f>
        <v>11.956020512820512</v>
      </c>
      <c r="BR29" s="170">
        <f ca="1">INDEX('Cap based on indoor unit SZ'!$V$43:$V$58,MATCH(AG29,'Cap based on indoor unit SZ'!$U$43:$U$58))</f>
        <v>14.945025641025641</v>
      </c>
      <c r="BS29" s="179"/>
      <c r="BT29" s="179"/>
      <c r="BU29" s="175">
        <v>9500</v>
      </c>
      <c r="BV29" s="175">
        <v>9500</v>
      </c>
      <c r="BW29" s="175">
        <v>12500</v>
      </c>
      <c r="BX29" s="179"/>
      <c r="BY29" s="179"/>
      <c r="BZ29" s="172">
        <f t="shared" ca="1" si="32"/>
        <v>36.672000000000004</v>
      </c>
      <c r="CA29" s="173">
        <f t="shared" ca="1" si="45"/>
        <v>11.001600000000002</v>
      </c>
      <c r="CB29" s="173">
        <f t="shared" ca="1" si="46"/>
        <v>11.001600000000002</v>
      </c>
      <c r="CC29" s="173">
        <f t="shared" ca="1" si="47"/>
        <v>14.668800000000001</v>
      </c>
      <c r="CD29" s="180"/>
      <c r="CE29" s="180"/>
      <c r="CF29" s="166">
        <f t="shared" ca="1" si="35"/>
        <v>25.465594910996355</v>
      </c>
      <c r="CG29" s="167">
        <f t="shared" ca="1" si="36"/>
        <v>7.835567664921955</v>
      </c>
      <c r="CH29" s="167">
        <f t="shared" ca="1" si="36"/>
        <v>7.835567664921955</v>
      </c>
      <c r="CI29" s="167">
        <f t="shared" ca="1" si="36"/>
        <v>9.7944595811524451</v>
      </c>
      <c r="CJ29" s="178"/>
      <c r="CK29" s="178"/>
    </row>
    <row r="30" spans="1:89" ht="14.4" thickBot="1">
      <c r="B30" s="204">
        <v>18</v>
      </c>
      <c r="C30" s="205">
        <v>89.6</v>
      </c>
      <c r="D30" s="205">
        <v>73.400000000000006</v>
      </c>
      <c r="E30" s="206" t="s">
        <v>15</v>
      </c>
      <c r="F30" s="207">
        <v>23.04</v>
      </c>
      <c r="G30" s="208">
        <v>23.48</v>
      </c>
      <c r="H30" s="208">
        <v>23.55</v>
      </c>
      <c r="I30" s="208">
        <v>23.64</v>
      </c>
      <c r="J30" s="208">
        <v>23.83</v>
      </c>
      <c r="K30" s="208">
        <v>24.05</v>
      </c>
      <c r="L30" s="209">
        <v>25.14</v>
      </c>
      <c r="M30" s="209">
        <v>23.82</v>
      </c>
      <c r="N30" s="209">
        <v>22.38</v>
      </c>
      <c r="O30" s="209">
        <v>14.95</v>
      </c>
      <c r="P30" s="209">
        <v>12.6</v>
      </c>
      <c r="Q30" s="210">
        <v>11.56</v>
      </c>
      <c r="R30" s="211">
        <f t="shared" ca="1" si="37"/>
        <v>22.379999999999995</v>
      </c>
      <c r="S30" s="145"/>
      <c r="T30" s="145"/>
      <c r="U30" s="146"/>
      <c r="V30" s="149"/>
      <c r="W30" s="145"/>
      <c r="X30" s="152"/>
      <c r="AC30" s="164" t="s">
        <v>178</v>
      </c>
      <c r="AD30" s="164">
        <v>30</v>
      </c>
      <c r="AE30" s="165">
        <v>9</v>
      </c>
      <c r="AF30" s="165">
        <v>9</v>
      </c>
      <c r="AG30" s="165">
        <v>18</v>
      </c>
      <c r="AH30" s="164"/>
      <c r="AI30" s="164"/>
      <c r="AJ30" s="501"/>
      <c r="AK30" s="166">
        <f t="shared" ca="1" si="20"/>
        <v>36.973333333333329</v>
      </c>
      <c r="AL30" s="167">
        <f t="shared" ca="1" si="38"/>
        <v>9.2433333333333323</v>
      </c>
      <c r="AM30" s="167">
        <f t="shared" ca="1" si="39"/>
        <v>9.2433333333333323</v>
      </c>
      <c r="AN30" s="167">
        <f t="shared" ca="1" si="40"/>
        <v>18.486666666666665</v>
      </c>
      <c r="AO30" s="178"/>
      <c r="AP30" s="178"/>
      <c r="AQ30" s="169">
        <f t="shared" ca="1" si="23"/>
        <v>40.74733333333333</v>
      </c>
      <c r="AR30" s="170">
        <f ca="1">INDEX('Cap based on indoor unit SZ'!$J$6:$J$21,MATCH(AE30,'Cap based on indoor unit SZ'!$I$6:$I$21))</f>
        <v>10.463111111111111</v>
      </c>
      <c r="AS30" s="170">
        <f ca="1">INDEX('Cap based on indoor unit SZ'!$J$6:$J$21,MATCH(AF30,'Cap based on indoor unit SZ'!$I$6:$I$21))</f>
        <v>10.463111111111111</v>
      </c>
      <c r="AT30" s="170">
        <f ca="1">INDEX('Cap based on indoor unit SZ'!$J$6:$J$21,MATCH(AG30,'Cap based on indoor unit SZ'!$I$6:$I$21))</f>
        <v>19.821111111111112</v>
      </c>
      <c r="AU30" s="179"/>
      <c r="AV30" s="179"/>
      <c r="AW30" s="169">
        <f t="shared" si="24"/>
        <v>33</v>
      </c>
      <c r="AX30" s="170">
        <v>8.5</v>
      </c>
      <c r="AY30" s="170">
        <v>8.5</v>
      </c>
      <c r="AZ30" s="170">
        <v>16</v>
      </c>
      <c r="BA30" s="179"/>
      <c r="BB30" s="179"/>
      <c r="BC30" s="172">
        <f t="shared" ca="1" si="25"/>
        <v>36.973333333333329</v>
      </c>
      <c r="BD30" s="173">
        <f t="shared" ca="1" si="41"/>
        <v>9.2433333333333323</v>
      </c>
      <c r="BE30" s="173">
        <f t="shared" ca="1" si="41"/>
        <v>9.2433333333333323</v>
      </c>
      <c r="BF30" s="173">
        <f t="shared" ca="1" si="41"/>
        <v>18.486666666666665</v>
      </c>
      <c r="BG30" s="180"/>
      <c r="BH30" s="180"/>
      <c r="BI30" s="166">
        <f t="shared" ca="1" si="28"/>
        <v>36.672000000000004</v>
      </c>
      <c r="BJ30" s="167">
        <f t="shared" ca="1" si="42"/>
        <v>9.168000000000001</v>
      </c>
      <c r="BK30" s="167">
        <f t="shared" ca="1" si="43"/>
        <v>9.168000000000001</v>
      </c>
      <c r="BL30" s="167">
        <f t="shared" ca="1" si="44"/>
        <v>18.336000000000002</v>
      </c>
      <c r="BM30" s="178"/>
      <c r="BN30" s="178"/>
      <c r="BO30" s="169">
        <f t="shared" ca="1" si="31"/>
        <v>48.51086153846154</v>
      </c>
      <c r="BP30" s="170">
        <f ca="1">INDEX('Cap based on indoor unit SZ'!$V$43:$V$58,MATCH(AE30,'Cap based on indoor unit SZ'!$U$43:$U$58))</f>
        <v>11.956020512820512</v>
      </c>
      <c r="BQ30" s="170">
        <f ca="1">INDEX('Cap based on indoor unit SZ'!$V$43:$V$58,MATCH(AF30,'Cap based on indoor unit SZ'!$U$43:$U$58))</f>
        <v>11.956020512820512</v>
      </c>
      <c r="BR30" s="170">
        <f ca="1">INDEX('Cap based on indoor unit SZ'!$V$43:$V$58,MATCH(AG30,'Cap based on indoor unit SZ'!$U$43:$U$58))</f>
        <v>24.598820512820513</v>
      </c>
      <c r="BS30" s="179"/>
      <c r="BT30" s="179"/>
      <c r="BU30" s="175">
        <v>8500</v>
      </c>
      <c r="BV30" s="175">
        <v>8500</v>
      </c>
      <c r="BW30" s="175">
        <v>17000</v>
      </c>
      <c r="BX30" s="179"/>
      <c r="BY30" s="179"/>
      <c r="BZ30" s="172">
        <f t="shared" ca="1" si="32"/>
        <v>36.672000000000004</v>
      </c>
      <c r="CA30" s="173">
        <f t="shared" ca="1" si="45"/>
        <v>9.168000000000001</v>
      </c>
      <c r="CB30" s="173">
        <f t="shared" ca="1" si="46"/>
        <v>9.168000000000001</v>
      </c>
      <c r="CC30" s="173">
        <f t="shared" ca="1" si="47"/>
        <v>18.336000000000002</v>
      </c>
      <c r="CD30" s="180"/>
      <c r="CE30" s="180"/>
      <c r="CF30" s="166">
        <f t="shared" ca="1" si="35"/>
        <v>27.688423840151955</v>
      </c>
      <c r="CG30" s="167">
        <f t="shared" ca="1" si="36"/>
        <v>6.9221059600379888</v>
      </c>
      <c r="CH30" s="167">
        <f t="shared" ca="1" si="36"/>
        <v>6.9221059600379888</v>
      </c>
      <c r="CI30" s="167">
        <f t="shared" ca="1" si="36"/>
        <v>13.844211920075978</v>
      </c>
      <c r="CJ30" s="178"/>
      <c r="CK30" s="178"/>
    </row>
    <row r="31" spans="1:89">
      <c r="B31" s="188">
        <v>24</v>
      </c>
      <c r="C31" s="189">
        <v>69.8</v>
      </c>
      <c r="D31" s="189">
        <v>59</v>
      </c>
      <c r="E31" s="190" t="s">
        <v>15</v>
      </c>
      <c r="F31" s="191">
        <v>27.01</v>
      </c>
      <c r="G31" s="192">
        <v>27.53</v>
      </c>
      <c r="H31" s="192">
        <v>27.42</v>
      </c>
      <c r="I31" s="192">
        <v>27.46</v>
      </c>
      <c r="J31" s="192">
        <v>27.23</v>
      </c>
      <c r="K31" s="192">
        <v>27.56</v>
      </c>
      <c r="L31" s="193">
        <v>27.05</v>
      </c>
      <c r="M31" s="193">
        <v>25.22</v>
      </c>
      <c r="N31" s="193">
        <v>22.79</v>
      </c>
      <c r="O31" s="193">
        <v>18.48</v>
      </c>
      <c r="P31" s="193">
        <v>16.18</v>
      </c>
      <c r="Q31" s="194">
        <v>14.26</v>
      </c>
      <c r="R31" s="195">
        <f t="shared" ca="1" si="37"/>
        <v>22.789999999999992</v>
      </c>
      <c r="S31" s="145"/>
      <c r="T31" s="145"/>
      <c r="U31" s="146" t="s">
        <v>96</v>
      </c>
      <c r="V31" s="147">
        <f ca="1">FORECAST(INDOOR_DB,OFFSET(R31:R34,MATCH(INDOOR_DB,C31:C34,1)-1,0,2),OFFSET(C31:C34,MATCH(INDOOR_DB,C31:C34,1)-1,0,2))</f>
        <v>28.912222222222226</v>
      </c>
      <c r="W31" s="145">
        <f>B31</f>
        <v>24</v>
      </c>
      <c r="X31" s="147">
        <f ca="1">IF(OR(INDOOR_DB&lt;C31,INDOOR_DB&gt;C34),V33,V31)</f>
        <v>28.912222222222226</v>
      </c>
      <c r="AC31" s="164" t="s">
        <v>218</v>
      </c>
      <c r="AD31" s="164">
        <v>30</v>
      </c>
      <c r="AE31" s="165">
        <v>9</v>
      </c>
      <c r="AF31" s="165">
        <v>9</v>
      </c>
      <c r="AG31" s="165">
        <v>24</v>
      </c>
      <c r="AH31" s="212"/>
      <c r="AI31" s="212"/>
      <c r="AJ31" s="501"/>
      <c r="AK31" s="166">
        <f t="shared" ca="1" si="20"/>
        <v>36.973333333333329</v>
      </c>
      <c r="AL31" s="167">
        <f t="shared" ca="1" si="38"/>
        <v>7.9228571428571426</v>
      </c>
      <c r="AM31" s="167">
        <f t="shared" ca="1" si="39"/>
        <v>7.9228571428571426</v>
      </c>
      <c r="AN31" s="167">
        <f t="shared" ca="1" si="40"/>
        <v>21.127619047619046</v>
      </c>
      <c r="AO31" s="178"/>
      <c r="AP31" s="178"/>
      <c r="AQ31" s="169">
        <f t="shared" ca="1" si="23"/>
        <v>45.37844444444444</v>
      </c>
      <c r="AR31" s="170">
        <f ca="1">INDEX('Cap based on indoor unit SZ'!$J$6:$J$21,MATCH(AE31,'Cap based on indoor unit SZ'!$I$6:$I$21))</f>
        <v>10.463111111111111</v>
      </c>
      <c r="AS31" s="170">
        <f ca="1">INDEX('Cap based on indoor unit SZ'!$J$6:$J$21,MATCH(AF31,'Cap based on indoor unit SZ'!$I$6:$I$21))</f>
        <v>10.463111111111111</v>
      </c>
      <c r="AT31" s="170">
        <f ca="1">INDEX('Cap based on indoor unit SZ'!$J$6:$J$21,MATCH(AG31,'Cap based on indoor unit SZ'!$I$6:$I$21))</f>
        <v>24.452222222222218</v>
      </c>
      <c r="AU31" s="179"/>
      <c r="AV31" s="179"/>
      <c r="AW31" s="169">
        <f t="shared" si="24"/>
        <v>35</v>
      </c>
      <c r="AX31" s="170">
        <v>7.5</v>
      </c>
      <c r="AY31" s="170">
        <v>7.5</v>
      </c>
      <c r="AZ31" s="170">
        <v>20</v>
      </c>
      <c r="BA31" s="179"/>
      <c r="BB31" s="179"/>
      <c r="BC31" s="172">
        <f t="shared" ca="1" si="25"/>
        <v>36.973333333333329</v>
      </c>
      <c r="BD31" s="173">
        <f t="shared" ca="1" si="41"/>
        <v>7.9228571428571426</v>
      </c>
      <c r="BE31" s="173">
        <f t="shared" ca="1" si="41"/>
        <v>7.9228571428571426</v>
      </c>
      <c r="BF31" s="173">
        <f t="shared" ca="1" si="41"/>
        <v>21.127619047619046</v>
      </c>
      <c r="BG31" s="180"/>
      <c r="BH31" s="180"/>
      <c r="BI31" s="166">
        <f t="shared" ca="1" si="28"/>
        <v>36.672000000000011</v>
      </c>
      <c r="BJ31" s="167">
        <f t="shared" ca="1" si="42"/>
        <v>7.8582857142857163</v>
      </c>
      <c r="BK31" s="167">
        <f t="shared" ca="1" si="43"/>
        <v>7.8582857142857163</v>
      </c>
      <c r="BL31" s="167">
        <f t="shared" ca="1" si="44"/>
        <v>20.955428571428577</v>
      </c>
      <c r="BM31" s="178"/>
      <c r="BN31" s="178"/>
      <c r="BO31" s="169">
        <f t="shared" ca="1" si="31"/>
        <v>54.202041025641023</v>
      </c>
      <c r="BP31" s="170">
        <f ca="1">INDEX('Cap based on indoor unit SZ'!$V$43:$V$58,MATCH(AE31,'Cap based on indoor unit SZ'!$U$43:$U$58))</f>
        <v>11.956020512820512</v>
      </c>
      <c r="BQ31" s="170">
        <f ca="1">INDEX('Cap based on indoor unit SZ'!$V$43:$V$58,MATCH(AF31,'Cap based on indoor unit SZ'!$U$43:$U$58))</f>
        <v>11.956020512820512</v>
      </c>
      <c r="BR31" s="170">
        <f ca="1">INDEX('Cap based on indoor unit SZ'!$V$43:$V$58,MATCH(AG31,'Cap based on indoor unit SZ'!$U$43:$U$58))</f>
        <v>30.290000000000003</v>
      </c>
      <c r="BS31" s="179"/>
      <c r="BT31" s="179"/>
      <c r="BU31" s="175">
        <v>8500</v>
      </c>
      <c r="BV31" s="175">
        <v>8500</v>
      </c>
      <c r="BW31" s="175">
        <v>21000</v>
      </c>
      <c r="BX31" s="179"/>
      <c r="BY31" s="179"/>
      <c r="BZ31" s="172">
        <f t="shared" ca="1" si="32"/>
        <v>36.672000000000011</v>
      </c>
      <c r="CA31" s="173">
        <f t="shared" ca="1" si="45"/>
        <v>7.8582857142857163</v>
      </c>
      <c r="CB31" s="173">
        <f t="shared" ca="1" si="46"/>
        <v>7.8582857142857163</v>
      </c>
      <c r="CC31" s="173">
        <f t="shared" ca="1" si="47"/>
        <v>20.955428571428577</v>
      </c>
      <c r="CD31" s="180"/>
      <c r="CE31" s="180"/>
      <c r="CF31" s="166">
        <f t="shared" ca="1" si="35"/>
        <v>27.688423840151955</v>
      </c>
      <c r="CG31" s="167">
        <f t="shared" ca="1" si="36"/>
        <v>5.9332336800325622</v>
      </c>
      <c r="CH31" s="167">
        <f t="shared" ca="1" si="36"/>
        <v>5.9332336800325622</v>
      </c>
      <c r="CI31" s="167">
        <f t="shared" ca="1" si="36"/>
        <v>15.821956480086833</v>
      </c>
      <c r="CJ31" s="178"/>
      <c r="CK31" s="178"/>
    </row>
    <row r="32" spans="1:89">
      <c r="B32" s="196">
        <v>24</v>
      </c>
      <c r="C32" s="197">
        <v>75.2</v>
      </c>
      <c r="D32" s="197">
        <v>62.6</v>
      </c>
      <c r="E32" s="198" t="s">
        <v>15</v>
      </c>
      <c r="F32" s="199">
        <v>29.17</v>
      </c>
      <c r="G32" s="200">
        <v>29.73</v>
      </c>
      <c r="H32" s="200">
        <v>29.61</v>
      </c>
      <c r="I32" s="200">
        <v>29.66</v>
      </c>
      <c r="J32" s="200">
        <v>29.41</v>
      </c>
      <c r="K32" s="200">
        <v>29.76</v>
      </c>
      <c r="L32" s="201">
        <v>29.21</v>
      </c>
      <c r="M32" s="201">
        <v>27.24</v>
      </c>
      <c r="N32" s="201">
        <v>24.61</v>
      </c>
      <c r="O32" s="201">
        <v>19.96</v>
      </c>
      <c r="P32" s="201">
        <v>17.47</v>
      </c>
      <c r="Q32" s="202">
        <v>15.4</v>
      </c>
      <c r="R32" s="203">
        <f t="shared" ca="1" si="37"/>
        <v>24.61</v>
      </c>
      <c r="S32" s="145"/>
      <c r="T32" s="145"/>
      <c r="U32" s="146"/>
      <c r="V32" s="148"/>
      <c r="W32" s="145"/>
      <c r="X32" s="152"/>
      <c r="AC32" s="164" t="s">
        <v>176</v>
      </c>
      <c r="AD32" s="164">
        <v>30</v>
      </c>
      <c r="AE32" s="165">
        <v>9</v>
      </c>
      <c r="AF32" s="165">
        <v>12</v>
      </c>
      <c r="AG32" s="165">
        <v>12</v>
      </c>
      <c r="AH32" s="164"/>
      <c r="AI32" s="164"/>
      <c r="AJ32" s="501"/>
      <c r="AK32" s="166">
        <f t="shared" ca="1" si="20"/>
        <v>36.241414141414147</v>
      </c>
      <c r="AL32" s="167">
        <f t="shared" ca="1" si="38"/>
        <v>10.083636363636364</v>
      </c>
      <c r="AM32" s="167">
        <f t="shared" ca="1" si="39"/>
        <v>13.078888888888891</v>
      </c>
      <c r="AN32" s="167">
        <f t="shared" ca="1" si="40"/>
        <v>13.078888888888891</v>
      </c>
      <c r="AO32" s="178"/>
      <c r="AP32" s="178"/>
      <c r="AQ32" s="169">
        <f t="shared" ca="1" si="23"/>
        <v>36.620888888888892</v>
      </c>
      <c r="AR32" s="170">
        <f ca="1">INDEX('Cap based on indoor unit SZ'!$J$6:$J$21,MATCH(AE32,'Cap based on indoor unit SZ'!$I$6:$I$21))</f>
        <v>10.463111111111111</v>
      </c>
      <c r="AS32" s="170">
        <f ca="1">INDEX('Cap based on indoor unit SZ'!$J$6:$J$21,MATCH(AF32,'Cap based on indoor unit SZ'!$I$6:$I$21))</f>
        <v>13.078888888888891</v>
      </c>
      <c r="AT32" s="170">
        <f ca="1">INDEX('Cap based on indoor unit SZ'!$J$6:$J$21,MATCH(AG32,'Cap based on indoor unit SZ'!$I$6:$I$21))</f>
        <v>13.078888888888891</v>
      </c>
      <c r="AU32" s="179"/>
      <c r="AV32" s="179"/>
      <c r="AW32" s="169">
        <f t="shared" si="24"/>
        <v>31.5</v>
      </c>
      <c r="AX32" s="170">
        <v>8.5</v>
      </c>
      <c r="AY32" s="170">
        <v>11.5</v>
      </c>
      <c r="AZ32" s="170">
        <v>11.5</v>
      </c>
      <c r="BA32" s="179"/>
      <c r="BB32" s="179"/>
      <c r="BC32" s="172">
        <f t="shared" ca="1" si="25"/>
        <v>36.973333333333336</v>
      </c>
      <c r="BD32" s="173">
        <f t="shared" ca="1" si="41"/>
        <v>10.083636363636364</v>
      </c>
      <c r="BE32" s="173">
        <f t="shared" ca="1" si="41"/>
        <v>13.444848484848485</v>
      </c>
      <c r="BF32" s="173">
        <f t="shared" ca="1" si="41"/>
        <v>13.444848484848485</v>
      </c>
      <c r="BG32" s="180"/>
      <c r="BH32" s="180"/>
      <c r="BI32" s="166">
        <f t="shared" ca="1" si="28"/>
        <v>36.672000000000011</v>
      </c>
      <c r="BJ32" s="167">
        <f t="shared" ca="1" si="42"/>
        <v>10.001454545454548</v>
      </c>
      <c r="BK32" s="167">
        <f t="shared" ca="1" si="43"/>
        <v>13.335272727272731</v>
      </c>
      <c r="BL32" s="167">
        <f t="shared" ca="1" si="44"/>
        <v>13.335272727272731</v>
      </c>
      <c r="BM32" s="178"/>
      <c r="BN32" s="178"/>
      <c r="BO32" s="169">
        <f t="shared" ca="1" si="31"/>
        <v>41.84607179487179</v>
      </c>
      <c r="BP32" s="170">
        <f ca="1">INDEX('Cap based on indoor unit SZ'!$V$43:$V$58,MATCH(AE32,'Cap based on indoor unit SZ'!$U$43:$U$58))</f>
        <v>11.956020512820512</v>
      </c>
      <c r="BQ32" s="170">
        <f ca="1">INDEX('Cap based on indoor unit SZ'!$V$43:$V$58,MATCH(AF32,'Cap based on indoor unit SZ'!$U$43:$U$58))</f>
        <v>14.945025641025641</v>
      </c>
      <c r="BR32" s="170">
        <f ca="1">INDEX('Cap based on indoor unit SZ'!$V$43:$V$58,MATCH(AG32,'Cap based on indoor unit SZ'!$U$43:$U$58))</f>
        <v>14.945025641025641</v>
      </c>
      <c r="BS32" s="179"/>
      <c r="BT32" s="179"/>
      <c r="BU32" s="175">
        <v>9000</v>
      </c>
      <c r="BV32" s="175">
        <v>12000</v>
      </c>
      <c r="BW32" s="175">
        <v>12000</v>
      </c>
      <c r="BX32" s="179"/>
      <c r="BY32" s="179"/>
      <c r="BZ32" s="172">
        <f t="shared" ca="1" si="32"/>
        <v>36.672000000000011</v>
      </c>
      <c r="CA32" s="173">
        <f t="shared" ca="1" si="45"/>
        <v>10.001454545454548</v>
      </c>
      <c r="CB32" s="173">
        <f t="shared" ca="1" si="46"/>
        <v>13.335272727272731</v>
      </c>
      <c r="CC32" s="173">
        <f t="shared" ca="1" si="47"/>
        <v>13.335272727272731</v>
      </c>
      <c r="CD32" s="180"/>
      <c r="CE32" s="180"/>
      <c r="CF32" s="166">
        <f t="shared" ca="1" si="35"/>
        <v>27.140307482346334</v>
      </c>
      <c r="CG32" s="167">
        <f t="shared" ca="1" si="36"/>
        <v>7.5513883200414433</v>
      </c>
      <c r="CH32" s="167">
        <f t="shared" ca="1" si="36"/>
        <v>9.7944595811524451</v>
      </c>
      <c r="CI32" s="167">
        <f t="shared" ca="1" si="36"/>
        <v>9.7944595811524451</v>
      </c>
      <c r="CJ32" s="178"/>
      <c r="CK32" s="178"/>
    </row>
    <row r="33" spans="2:89">
      <c r="B33" s="196">
        <v>24</v>
      </c>
      <c r="C33" s="197">
        <v>80.599999999999994</v>
      </c>
      <c r="D33" s="197">
        <v>66.2</v>
      </c>
      <c r="E33" s="198" t="s">
        <v>15</v>
      </c>
      <c r="F33" s="199">
        <v>32.9</v>
      </c>
      <c r="G33" s="200">
        <v>33.53</v>
      </c>
      <c r="H33" s="200">
        <v>33.43</v>
      </c>
      <c r="I33" s="200">
        <v>33.22</v>
      </c>
      <c r="J33" s="200">
        <v>33.18</v>
      </c>
      <c r="K33" s="200">
        <v>33.42</v>
      </c>
      <c r="L33" s="201">
        <v>33.4</v>
      </c>
      <c r="M33" s="201">
        <v>31.64</v>
      </c>
      <c r="N33" s="201">
        <v>29.45</v>
      </c>
      <c r="O33" s="201">
        <v>22.61</v>
      </c>
      <c r="P33" s="201">
        <v>20.56</v>
      </c>
      <c r="Q33" s="202">
        <v>18.47</v>
      </c>
      <c r="R33" s="203">
        <f t="shared" ca="1" si="37"/>
        <v>29.450000000000003</v>
      </c>
      <c r="S33" s="145"/>
      <c r="T33" s="145"/>
      <c r="U33" s="146" t="s">
        <v>97</v>
      </c>
      <c r="V33" s="147">
        <f ca="1">TREND(R31:R34,C31:C34,INDOOR_DB)</f>
        <v>27.64898989898991</v>
      </c>
      <c r="W33" s="145"/>
      <c r="X33" s="152"/>
      <c r="AC33" s="164" t="s">
        <v>175</v>
      </c>
      <c r="AD33" s="164">
        <v>30</v>
      </c>
      <c r="AE33" s="165">
        <v>9</v>
      </c>
      <c r="AF33" s="165">
        <v>12</v>
      </c>
      <c r="AG33" s="165">
        <v>18</v>
      </c>
      <c r="AH33" s="164"/>
      <c r="AI33" s="164"/>
      <c r="AJ33" s="501"/>
      <c r="AK33" s="166">
        <f t="shared" ca="1" si="20"/>
        <v>36.973333333333329</v>
      </c>
      <c r="AL33" s="167">
        <f t="shared" ca="1" si="38"/>
        <v>8.5323076923076915</v>
      </c>
      <c r="AM33" s="167">
        <f t="shared" ca="1" si="39"/>
        <v>11.376410256410255</v>
      </c>
      <c r="AN33" s="167">
        <f t="shared" ca="1" si="40"/>
        <v>17.064615384615383</v>
      </c>
      <c r="AO33" s="178"/>
      <c r="AP33" s="178"/>
      <c r="AQ33" s="169">
        <f t="shared" ca="1" si="23"/>
        <v>43.36311111111111</v>
      </c>
      <c r="AR33" s="170">
        <f ca="1">INDEX('Cap based on indoor unit SZ'!$J$6:$J$21,MATCH(AE33,'Cap based on indoor unit SZ'!$I$6:$I$21))</f>
        <v>10.463111111111111</v>
      </c>
      <c r="AS33" s="170">
        <f ca="1">INDEX('Cap based on indoor unit SZ'!$J$6:$J$21,MATCH(AF33,'Cap based on indoor unit SZ'!$I$6:$I$21))</f>
        <v>13.078888888888891</v>
      </c>
      <c r="AT33" s="170">
        <f ca="1">INDEX('Cap based on indoor unit SZ'!$J$6:$J$21,MATCH(AG33,'Cap based on indoor unit SZ'!$I$6:$I$21))</f>
        <v>19.821111111111112</v>
      </c>
      <c r="AU33" s="179"/>
      <c r="AV33" s="179"/>
      <c r="AW33" s="169">
        <f t="shared" si="24"/>
        <v>34</v>
      </c>
      <c r="AX33" s="170">
        <v>8</v>
      </c>
      <c r="AY33" s="170">
        <v>11</v>
      </c>
      <c r="AZ33" s="170">
        <v>15</v>
      </c>
      <c r="BA33" s="179"/>
      <c r="BB33" s="179"/>
      <c r="BC33" s="172">
        <f t="shared" ca="1" si="25"/>
        <v>36.973333333333329</v>
      </c>
      <c r="BD33" s="173">
        <f t="shared" ca="1" si="41"/>
        <v>8.5323076923076915</v>
      </c>
      <c r="BE33" s="173">
        <f t="shared" ca="1" si="41"/>
        <v>11.376410256410255</v>
      </c>
      <c r="BF33" s="173">
        <f t="shared" ca="1" si="41"/>
        <v>17.064615384615383</v>
      </c>
      <c r="BG33" s="180"/>
      <c r="BH33" s="180"/>
      <c r="BI33" s="166">
        <f t="shared" ca="1" si="28"/>
        <v>36.672000000000011</v>
      </c>
      <c r="BJ33" s="167">
        <f t="shared" ca="1" si="42"/>
        <v>8.4627692307692328</v>
      </c>
      <c r="BK33" s="167">
        <f t="shared" ca="1" si="43"/>
        <v>11.283692307692309</v>
      </c>
      <c r="BL33" s="167">
        <f t="shared" ca="1" si="44"/>
        <v>16.925538461538466</v>
      </c>
      <c r="BM33" s="178"/>
      <c r="BN33" s="178"/>
      <c r="BO33" s="169">
        <f t="shared" ca="1" si="31"/>
        <v>51.499866666666662</v>
      </c>
      <c r="BP33" s="170">
        <f ca="1">INDEX('Cap based on indoor unit SZ'!$V$43:$V$58,MATCH(AE33,'Cap based on indoor unit SZ'!$U$43:$U$58))</f>
        <v>11.956020512820512</v>
      </c>
      <c r="BQ33" s="170">
        <f ca="1">INDEX('Cap based on indoor unit SZ'!$V$43:$V$58,MATCH(AF33,'Cap based on indoor unit SZ'!$U$43:$U$58))</f>
        <v>14.945025641025641</v>
      </c>
      <c r="BR33" s="170">
        <f ca="1">INDEX('Cap based on indoor unit SZ'!$V$43:$V$58,MATCH(AG33,'Cap based on indoor unit SZ'!$U$43:$U$58))</f>
        <v>24.598820512820513</v>
      </c>
      <c r="BS33" s="179"/>
      <c r="BT33" s="179"/>
      <c r="BU33" s="175">
        <v>8500</v>
      </c>
      <c r="BV33" s="175">
        <v>11500</v>
      </c>
      <c r="BW33" s="175">
        <v>16000</v>
      </c>
      <c r="BX33" s="179"/>
      <c r="BY33" s="179"/>
      <c r="BZ33" s="172">
        <f t="shared" ca="1" si="32"/>
        <v>36.672000000000011</v>
      </c>
      <c r="CA33" s="173">
        <f t="shared" ca="1" si="45"/>
        <v>8.4627692307692328</v>
      </c>
      <c r="CB33" s="173">
        <f t="shared" ca="1" si="46"/>
        <v>11.283692307692309</v>
      </c>
      <c r="CC33" s="173">
        <f t="shared" ca="1" si="47"/>
        <v>16.925538461538466</v>
      </c>
      <c r="CD33" s="180"/>
      <c r="CE33" s="180"/>
      <c r="CF33" s="166">
        <f t="shared" ca="1" si="35"/>
        <v>27.688423840151955</v>
      </c>
      <c r="CG33" s="167">
        <f t="shared" ca="1" si="36"/>
        <v>6.3896362708042975</v>
      </c>
      <c r="CH33" s="167">
        <f t="shared" ca="1" si="36"/>
        <v>8.5195150277390628</v>
      </c>
      <c r="CI33" s="167">
        <f t="shared" ca="1" si="36"/>
        <v>12.779272541608595</v>
      </c>
      <c r="CJ33" s="178"/>
      <c r="CK33" s="178"/>
    </row>
    <row r="34" spans="2:89" ht="14.4" thickBot="1">
      <c r="B34" s="204">
        <v>24</v>
      </c>
      <c r="C34" s="205">
        <v>89.6</v>
      </c>
      <c r="D34" s="205">
        <v>73.400000000000006</v>
      </c>
      <c r="E34" s="206" t="s">
        <v>15</v>
      </c>
      <c r="F34" s="207">
        <v>35.21</v>
      </c>
      <c r="G34" s="208">
        <v>35.880000000000003</v>
      </c>
      <c r="H34" s="208">
        <v>35.770000000000003</v>
      </c>
      <c r="I34" s="208">
        <v>35.549999999999997</v>
      </c>
      <c r="J34" s="208">
        <v>35.5</v>
      </c>
      <c r="K34" s="208">
        <v>35.76</v>
      </c>
      <c r="L34" s="209">
        <v>35.74</v>
      </c>
      <c r="M34" s="209">
        <v>33.85</v>
      </c>
      <c r="N34" s="209">
        <v>31.51</v>
      </c>
      <c r="O34" s="209">
        <v>24.19</v>
      </c>
      <c r="P34" s="209">
        <v>22</v>
      </c>
      <c r="Q34" s="210">
        <v>19.760000000000002</v>
      </c>
      <c r="R34" s="211">
        <f t="shared" ca="1" si="37"/>
        <v>31.510000000000019</v>
      </c>
      <c r="S34" s="145"/>
      <c r="T34" s="145"/>
      <c r="U34" s="146"/>
      <c r="V34" s="149"/>
      <c r="W34" s="145"/>
      <c r="X34" s="152"/>
      <c r="AC34" s="164" t="s">
        <v>262</v>
      </c>
      <c r="AD34" s="164">
        <v>30</v>
      </c>
      <c r="AE34" s="165">
        <v>9</v>
      </c>
      <c r="AF34" s="165">
        <v>12</v>
      </c>
      <c r="AG34" s="165">
        <v>24</v>
      </c>
      <c r="AH34" s="164"/>
      <c r="AI34" s="164"/>
      <c r="AJ34" s="501"/>
      <c r="AK34" s="166">
        <f t="shared" ca="1" si="20"/>
        <v>36.973333333333329</v>
      </c>
      <c r="AL34" s="167">
        <f t="shared" ca="1" si="38"/>
        <v>7.3946666666666658</v>
      </c>
      <c r="AM34" s="167">
        <f t="shared" ca="1" si="39"/>
        <v>9.8595555555555539</v>
      </c>
      <c r="AN34" s="167">
        <f t="shared" ca="1" si="40"/>
        <v>19.719111111111108</v>
      </c>
      <c r="AO34" s="178"/>
      <c r="AP34" s="178"/>
      <c r="AQ34" s="169">
        <f t="shared" ca="1" si="23"/>
        <v>47.99422222222222</v>
      </c>
      <c r="AR34" s="170">
        <f ca="1">INDEX('Cap based on indoor unit SZ'!$J$6:$J$21,MATCH(AE34,'Cap based on indoor unit SZ'!$I$6:$I$21))</f>
        <v>10.463111111111111</v>
      </c>
      <c r="AS34" s="170">
        <f ca="1">INDEX('Cap based on indoor unit SZ'!$J$6:$J$21,MATCH(AF34,'Cap based on indoor unit SZ'!$I$6:$I$21))</f>
        <v>13.078888888888891</v>
      </c>
      <c r="AT34" s="170">
        <f ca="1">INDEX('Cap based on indoor unit SZ'!$J$6:$J$21,MATCH(AG34,'Cap based on indoor unit SZ'!$I$6:$I$21))</f>
        <v>24.452222222222218</v>
      </c>
      <c r="AU34" s="179"/>
      <c r="AV34" s="179"/>
      <c r="AW34" s="169">
        <f t="shared" si="24"/>
        <v>36</v>
      </c>
      <c r="AX34" s="170">
        <v>7</v>
      </c>
      <c r="AY34" s="170">
        <v>9</v>
      </c>
      <c r="AZ34" s="170">
        <v>20</v>
      </c>
      <c r="BA34" s="179"/>
      <c r="BB34" s="179"/>
      <c r="BC34" s="172">
        <f t="shared" ca="1" si="25"/>
        <v>36.973333333333329</v>
      </c>
      <c r="BD34" s="173">
        <f t="shared" ca="1" si="41"/>
        <v>7.3946666666666658</v>
      </c>
      <c r="BE34" s="173">
        <f t="shared" ca="1" si="41"/>
        <v>9.8595555555555539</v>
      </c>
      <c r="BF34" s="173">
        <f t="shared" ca="1" si="41"/>
        <v>19.719111111111108</v>
      </c>
      <c r="BG34" s="180"/>
      <c r="BH34" s="180"/>
      <c r="BI34" s="166">
        <f t="shared" ca="1" si="28"/>
        <v>36.671999999999997</v>
      </c>
      <c r="BJ34" s="167">
        <f t="shared" ca="1" si="42"/>
        <v>7.3344000000000005</v>
      </c>
      <c r="BK34" s="167">
        <f t="shared" ca="1" si="43"/>
        <v>9.7791999999999994</v>
      </c>
      <c r="BL34" s="167">
        <f t="shared" ca="1" si="44"/>
        <v>19.558399999999999</v>
      </c>
      <c r="BM34" s="178"/>
      <c r="BN34" s="178"/>
      <c r="BO34" s="169">
        <f t="shared" ca="1" si="31"/>
        <v>57.191046153846159</v>
      </c>
      <c r="BP34" s="170">
        <f ca="1">INDEX('Cap based on indoor unit SZ'!$V$43:$V$58,MATCH(AE34,'Cap based on indoor unit SZ'!$U$43:$U$58))</f>
        <v>11.956020512820512</v>
      </c>
      <c r="BQ34" s="170">
        <f ca="1">INDEX('Cap based on indoor unit SZ'!$V$43:$V$58,MATCH(AF34,'Cap based on indoor unit SZ'!$U$43:$U$58))</f>
        <v>14.945025641025641</v>
      </c>
      <c r="BR34" s="170">
        <f ca="1">INDEX('Cap based on indoor unit SZ'!$V$43:$V$58,MATCH(AG34,'Cap based on indoor unit SZ'!$U$43:$U$58))</f>
        <v>30.290000000000003</v>
      </c>
      <c r="BS34" s="179"/>
      <c r="BT34" s="179"/>
      <c r="BU34" s="175">
        <v>8500</v>
      </c>
      <c r="BV34" s="175">
        <v>9500</v>
      </c>
      <c r="BW34" s="175">
        <v>21000</v>
      </c>
      <c r="BX34" s="179"/>
      <c r="BY34" s="179"/>
      <c r="BZ34" s="172">
        <f t="shared" ca="1" si="32"/>
        <v>36.671999999999997</v>
      </c>
      <c r="CA34" s="173">
        <f t="shared" ca="1" si="45"/>
        <v>7.3344000000000005</v>
      </c>
      <c r="CB34" s="173">
        <f t="shared" ca="1" si="46"/>
        <v>9.7791999999999994</v>
      </c>
      <c r="CC34" s="173">
        <f t="shared" ca="1" si="47"/>
        <v>19.558399999999999</v>
      </c>
      <c r="CD34" s="180"/>
      <c r="CE34" s="180"/>
      <c r="CF34" s="166">
        <f t="shared" ca="1" si="35"/>
        <v>27.688423840151955</v>
      </c>
      <c r="CG34" s="167">
        <f t="shared" ca="1" si="36"/>
        <v>5.5376847680303909</v>
      </c>
      <c r="CH34" s="167">
        <f t="shared" ca="1" si="36"/>
        <v>7.3835796907071876</v>
      </c>
      <c r="CI34" s="167">
        <f t="shared" ca="1" si="36"/>
        <v>14.767159381414375</v>
      </c>
      <c r="CJ34" s="178"/>
      <c r="CK34" s="178"/>
    </row>
    <row r="35" spans="2:89">
      <c r="B35" s="188">
        <v>30</v>
      </c>
      <c r="C35" s="189">
        <v>69.8</v>
      </c>
      <c r="D35" s="189">
        <v>59</v>
      </c>
      <c r="E35" s="190" t="s">
        <v>15</v>
      </c>
      <c r="F35" s="191">
        <v>34.76</v>
      </c>
      <c r="G35" s="192">
        <v>35.43</v>
      </c>
      <c r="H35" s="192">
        <v>35.18</v>
      </c>
      <c r="I35" s="192">
        <v>35.619999999999997</v>
      </c>
      <c r="J35" s="192">
        <v>36.15</v>
      </c>
      <c r="K35" s="192">
        <v>36.200000000000003</v>
      </c>
      <c r="L35" s="193">
        <v>36.96</v>
      </c>
      <c r="M35" s="193">
        <v>35.270000000000003</v>
      </c>
      <c r="N35" s="193">
        <v>33.22</v>
      </c>
      <c r="O35" s="193">
        <v>24.93</v>
      </c>
      <c r="P35" s="193">
        <v>22.56</v>
      </c>
      <c r="Q35" s="194">
        <v>20.149999999999999</v>
      </c>
      <c r="R35" s="195">
        <f t="shared" ca="1" si="37"/>
        <v>33.22</v>
      </c>
      <c r="S35" s="145"/>
      <c r="T35" s="145"/>
      <c r="U35" s="146" t="s">
        <v>96</v>
      </c>
      <c r="V35" s="147">
        <f ca="1">FORECAST(INDOOR_DB,OFFSET(R35:R38,MATCH(INDOOR_DB,C35:C38,1)-1,0,2),OFFSET(C35:C38,MATCH(INDOOR_DB,C35:C38,1)-1,0,2))</f>
        <v>36.973333333333329</v>
      </c>
      <c r="W35" s="145">
        <f>B35</f>
        <v>30</v>
      </c>
      <c r="X35" s="147">
        <f ca="1">IF(OR(INDOOR_DB&lt;C35,INDOOR_DB&gt;C38),V37,V35)</f>
        <v>36.973333333333329</v>
      </c>
      <c r="AC35" s="164" t="s">
        <v>173</v>
      </c>
      <c r="AD35" s="164">
        <v>30</v>
      </c>
      <c r="AE35" s="165">
        <v>9</v>
      </c>
      <c r="AF35" s="165">
        <v>18</v>
      </c>
      <c r="AG35" s="165">
        <v>18</v>
      </c>
      <c r="AH35" s="164"/>
      <c r="AI35" s="164"/>
      <c r="AJ35" s="501"/>
      <c r="AK35" s="166">
        <f t="shared" ca="1" si="20"/>
        <v>36.973333333333329</v>
      </c>
      <c r="AL35" s="167">
        <f t="shared" ca="1" si="38"/>
        <v>7.3946666666666658</v>
      </c>
      <c r="AM35" s="167">
        <f t="shared" ca="1" si="39"/>
        <v>14.789333333333332</v>
      </c>
      <c r="AN35" s="167">
        <f t="shared" ca="1" si="40"/>
        <v>14.789333333333332</v>
      </c>
      <c r="AO35" s="178"/>
      <c r="AP35" s="178"/>
      <c r="AQ35" s="169">
        <f t="shared" ca="1" si="23"/>
        <v>50.105333333333334</v>
      </c>
      <c r="AR35" s="170">
        <f ca="1">INDEX('Cap based on indoor unit SZ'!$J$6:$J$21,MATCH(AE35,'Cap based on indoor unit SZ'!$I$6:$I$21))</f>
        <v>10.463111111111111</v>
      </c>
      <c r="AS35" s="170">
        <f ca="1">INDEX('Cap based on indoor unit SZ'!$J$6:$J$21,MATCH(AF35,'Cap based on indoor unit SZ'!$I$6:$I$21))</f>
        <v>19.821111111111112</v>
      </c>
      <c r="AT35" s="170">
        <f ca="1">INDEX('Cap based on indoor unit SZ'!$J$6:$J$21,MATCH(AG35,'Cap based on indoor unit SZ'!$I$6:$I$21))</f>
        <v>19.821111111111112</v>
      </c>
      <c r="AU35" s="179"/>
      <c r="AV35" s="179"/>
      <c r="AW35" s="169">
        <f t="shared" si="24"/>
        <v>36</v>
      </c>
      <c r="AX35" s="170">
        <v>8</v>
      </c>
      <c r="AY35" s="170">
        <v>14</v>
      </c>
      <c r="AZ35" s="170">
        <v>14</v>
      </c>
      <c r="BA35" s="179"/>
      <c r="BB35" s="179"/>
      <c r="BC35" s="172">
        <f t="shared" ca="1" si="25"/>
        <v>36.973333333333329</v>
      </c>
      <c r="BD35" s="173">
        <f t="shared" ca="1" si="41"/>
        <v>7.3946666666666658</v>
      </c>
      <c r="BE35" s="173">
        <f t="shared" ca="1" si="41"/>
        <v>14.789333333333332</v>
      </c>
      <c r="BF35" s="173">
        <f t="shared" ca="1" si="41"/>
        <v>14.789333333333332</v>
      </c>
      <c r="BG35" s="180"/>
      <c r="BH35" s="180"/>
      <c r="BI35" s="166">
        <f t="shared" ca="1" si="28"/>
        <v>36.671999999999997</v>
      </c>
      <c r="BJ35" s="167">
        <f t="shared" ca="1" si="42"/>
        <v>7.3344000000000005</v>
      </c>
      <c r="BK35" s="167">
        <f t="shared" ca="1" si="43"/>
        <v>14.668800000000001</v>
      </c>
      <c r="BL35" s="167">
        <f t="shared" ca="1" si="44"/>
        <v>14.668800000000001</v>
      </c>
      <c r="BM35" s="178"/>
      <c r="BN35" s="178"/>
      <c r="BO35" s="169">
        <f t="shared" ca="1" si="31"/>
        <v>61.153661538461535</v>
      </c>
      <c r="BP35" s="170">
        <f ca="1">INDEX('Cap based on indoor unit SZ'!$V$43:$V$58,MATCH(AE35,'Cap based on indoor unit SZ'!$U$43:$U$58))</f>
        <v>11.956020512820512</v>
      </c>
      <c r="BQ35" s="170">
        <f ca="1">INDEX('Cap based on indoor unit SZ'!$V$43:$V$58,MATCH(AF35,'Cap based on indoor unit SZ'!$U$43:$U$58))</f>
        <v>24.598820512820513</v>
      </c>
      <c r="BR35" s="170">
        <f ca="1">INDEX('Cap based on indoor unit SZ'!$V$43:$V$58,MATCH(AG35,'Cap based on indoor unit SZ'!$U$43:$U$58))</f>
        <v>24.598820512820513</v>
      </c>
      <c r="BS35" s="179"/>
      <c r="BT35" s="179"/>
      <c r="BU35" s="175">
        <v>8500</v>
      </c>
      <c r="BV35" s="175">
        <v>14500</v>
      </c>
      <c r="BW35" s="175">
        <v>14500</v>
      </c>
      <c r="BX35" s="179"/>
      <c r="BY35" s="179"/>
      <c r="BZ35" s="172">
        <f t="shared" ca="1" si="32"/>
        <v>36.671999999999997</v>
      </c>
      <c r="CA35" s="173">
        <f t="shared" ca="1" si="45"/>
        <v>7.3344000000000005</v>
      </c>
      <c r="CB35" s="173">
        <f t="shared" ca="1" si="46"/>
        <v>14.668800000000001</v>
      </c>
      <c r="CC35" s="173">
        <f t="shared" ca="1" si="47"/>
        <v>14.668800000000001</v>
      </c>
      <c r="CD35" s="180"/>
      <c r="CE35" s="180"/>
      <c r="CF35" s="166">
        <f t="shared" ca="1" si="35"/>
        <v>27.688423840151955</v>
      </c>
      <c r="CG35" s="167">
        <f t="shared" ca="1" si="36"/>
        <v>5.5376847680303909</v>
      </c>
      <c r="CH35" s="167">
        <f t="shared" ca="1" si="36"/>
        <v>11.075369536060782</v>
      </c>
      <c r="CI35" s="167">
        <f t="shared" ca="1" si="36"/>
        <v>11.075369536060782</v>
      </c>
      <c r="CJ35" s="178"/>
      <c r="CK35" s="178"/>
    </row>
    <row r="36" spans="2:89">
      <c r="B36" s="196">
        <v>30</v>
      </c>
      <c r="C36" s="197">
        <v>75.2</v>
      </c>
      <c r="D36" s="197">
        <v>62.6</v>
      </c>
      <c r="E36" s="198" t="s">
        <v>15</v>
      </c>
      <c r="F36" s="199">
        <v>35.799999999999997</v>
      </c>
      <c r="G36" s="200">
        <v>36.49</v>
      </c>
      <c r="H36" s="200">
        <v>36.24</v>
      </c>
      <c r="I36" s="200">
        <v>36.69</v>
      </c>
      <c r="J36" s="200">
        <v>37.229999999999997</v>
      </c>
      <c r="K36" s="200">
        <v>37.29</v>
      </c>
      <c r="L36" s="201">
        <v>38.44</v>
      </c>
      <c r="M36" s="201">
        <v>38.090000000000003</v>
      </c>
      <c r="N36" s="201">
        <v>35.880000000000003</v>
      </c>
      <c r="O36" s="201">
        <v>26.92</v>
      </c>
      <c r="P36" s="201">
        <v>24.36</v>
      </c>
      <c r="Q36" s="202">
        <v>21.76</v>
      </c>
      <c r="R36" s="203">
        <f t="shared" ca="1" si="37"/>
        <v>35.88000000000001</v>
      </c>
      <c r="S36" s="152"/>
      <c r="T36" s="152"/>
      <c r="U36" s="146"/>
      <c r="V36" s="148"/>
      <c r="W36" s="145"/>
      <c r="X36" s="152"/>
      <c r="AC36" s="164" t="s">
        <v>217</v>
      </c>
      <c r="AD36" s="164">
        <v>30</v>
      </c>
      <c r="AE36" s="165">
        <v>12</v>
      </c>
      <c r="AF36" s="165">
        <v>12</v>
      </c>
      <c r="AG36" s="165">
        <v>12</v>
      </c>
      <c r="AH36" s="164"/>
      <c r="AI36" s="164"/>
      <c r="AJ36" s="501"/>
      <c r="AK36" s="166">
        <f t="shared" ca="1" si="20"/>
        <v>36.973333333333329</v>
      </c>
      <c r="AL36" s="167">
        <f t="shared" ca="1" si="38"/>
        <v>12.324444444444442</v>
      </c>
      <c r="AM36" s="167">
        <f t="shared" ca="1" si="39"/>
        <v>12.324444444444442</v>
      </c>
      <c r="AN36" s="167">
        <f t="shared" ca="1" si="40"/>
        <v>12.324444444444442</v>
      </c>
      <c r="AO36" s="178"/>
      <c r="AP36" s="178"/>
      <c r="AQ36" s="169">
        <f t="shared" ca="1" si="23"/>
        <v>39.236666666666672</v>
      </c>
      <c r="AR36" s="170">
        <f ca="1">INDEX('Cap based on indoor unit SZ'!$J$6:$J$21,MATCH(AE36,'Cap based on indoor unit SZ'!$I$6:$I$21))</f>
        <v>13.078888888888891</v>
      </c>
      <c r="AS36" s="170">
        <f ca="1">INDEX('Cap based on indoor unit SZ'!$J$6:$J$21,MATCH(AF36,'Cap based on indoor unit SZ'!$I$6:$I$21))</f>
        <v>13.078888888888891</v>
      </c>
      <c r="AT36" s="170">
        <f ca="1">INDEX('Cap based on indoor unit SZ'!$J$6:$J$21,MATCH(AG36,'Cap based on indoor unit SZ'!$I$6:$I$21))</f>
        <v>13.078888888888891</v>
      </c>
      <c r="AU36" s="179"/>
      <c r="AV36" s="179"/>
      <c r="AW36" s="169">
        <f t="shared" si="24"/>
        <v>33.999000000000002</v>
      </c>
      <c r="AX36" s="170">
        <v>11.333</v>
      </c>
      <c r="AY36" s="170">
        <v>11.333</v>
      </c>
      <c r="AZ36" s="170">
        <v>11.333</v>
      </c>
      <c r="BA36" s="179"/>
      <c r="BB36" s="179"/>
      <c r="BC36" s="172">
        <f t="shared" ca="1" si="25"/>
        <v>36.973333333333329</v>
      </c>
      <c r="BD36" s="173">
        <f t="shared" ca="1" si="41"/>
        <v>12.324444444444442</v>
      </c>
      <c r="BE36" s="173">
        <f t="shared" ca="1" si="41"/>
        <v>12.324444444444442</v>
      </c>
      <c r="BF36" s="173">
        <f t="shared" ca="1" si="41"/>
        <v>12.324444444444442</v>
      </c>
      <c r="BG36" s="180"/>
      <c r="BH36" s="180"/>
      <c r="BI36" s="166">
        <f t="shared" ca="1" si="28"/>
        <v>36.671999999999997</v>
      </c>
      <c r="BJ36" s="167">
        <f t="shared" ca="1" si="42"/>
        <v>12.224</v>
      </c>
      <c r="BK36" s="167">
        <f t="shared" ca="1" si="43"/>
        <v>12.224</v>
      </c>
      <c r="BL36" s="167">
        <f t="shared" ca="1" si="44"/>
        <v>12.224</v>
      </c>
      <c r="BM36" s="178"/>
      <c r="BN36" s="178"/>
      <c r="BO36" s="169">
        <f t="shared" ca="1" si="31"/>
        <v>44.835076923076926</v>
      </c>
      <c r="BP36" s="170">
        <f ca="1">INDEX('Cap based on indoor unit SZ'!$V$43:$V$58,MATCH(AE36,'Cap based on indoor unit SZ'!$U$43:$U$58))</f>
        <v>14.945025641025641</v>
      </c>
      <c r="BQ36" s="170">
        <f ca="1">INDEX('Cap based on indoor unit SZ'!$V$43:$V$58,MATCH(AF36,'Cap based on indoor unit SZ'!$U$43:$U$58))</f>
        <v>14.945025641025641</v>
      </c>
      <c r="BR36" s="170">
        <f ca="1">INDEX('Cap based on indoor unit SZ'!$V$43:$V$58,MATCH(AG36,'Cap based on indoor unit SZ'!$U$43:$U$58))</f>
        <v>14.945025641025641</v>
      </c>
      <c r="BS36" s="179"/>
      <c r="BT36" s="179"/>
      <c r="BU36" s="175">
        <v>12000</v>
      </c>
      <c r="BV36" s="175">
        <v>12000</v>
      </c>
      <c r="BW36" s="175">
        <v>12000</v>
      </c>
      <c r="BX36" s="179"/>
      <c r="BY36" s="179"/>
      <c r="BZ36" s="172">
        <f t="shared" ca="1" si="32"/>
        <v>36.671999999999997</v>
      </c>
      <c r="CA36" s="173">
        <f t="shared" ca="1" si="45"/>
        <v>12.224</v>
      </c>
      <c r="CB36" s="173">
        <f t="shared" ca="1" si="46"/>
        <v>12.224</v>
      </c>
      <c r="CC36" s="173">
        <f t="shared" ca="1" si="47"/>
        <v>12.224</v>
      </c>
      <c r="CD36" s="180"/>
      <c r="CE36" s="180"/>
      <c r="CF36" s="166">
        <f t="shared" ca="1" si="35"/>
        <v>27.688423840151955</v>
      </c>
      <c r="CG36" s="167">
        <f t="shared" ca="1" si="36"/>
        <v>9.2294746133839851</v>
      </c>
      <c r="CH36" s="167">
        <f t="shared" ca="1" si="36"/>
        <v>9.2294746133839851</v>
      </c>
      <c r="CI36" s="167">
        <f t="shared" ca="1" si="36"/>
        <v>9.2294746133839851</v>
      </c>
      <c r="CJ36" s="178"/>
      <c r="CK36" s="178"/>
    </row>
    <row r="37" spans="2:89">
      <c r="B37" s="196">
        <v>30</v>
      </c>
      <c r="C37" s="197">
        <v>80.599999999999994</v>
      </c>
      <c r="D37" s="197">
        <v>66.2</v>
      </c>
      <c r="E37" s="198" t="s">
        <v>15</v>
      </c>
      <c r="F37" s="199">
        <v>39.770000000000003</v>
      </c>
      <c r="G37" s="200">
        <v>40.53</v>
      </c>
      <c r="H37" s="200">
        <v>40.42</v>
      </c>
      <c r="I37" s="200">
        <v>41.2</v>
      </c>
      <c r="J37" s="200">
        <v>41.08</v>
      </c>
      <c r="K37" s="200">
        <v>40.619999999999997</v>
      </c>
      <c r="L37" s="201">
        <v>40.119999999999997</v>
      </c>
      <c r="M37" s="201">
        <v>38.909999999999997</v>
      </c>
      <c r="N37" s="201">
        <v>37.11</v>
      </c>
      <c r="O37" s="201">
        <v>29.31</v>
      </c>
      <c r="P37" s="201">
        <v>27.14</v>
      </c>
      <c r="Q37" s="202">
        <v>23.53</v>
      </c>
      <c r="R37" s="203">
        <f t="shared" ca="1" si="37"/>
        <v>37.11</v>
      </c>
      <c r="S37" s="152"/>
      <c r="T37" s="152"/>
      <c r="U37" s="146" t="s">
        <v>97</v>
      </c>
      <c r="V37" s="147">
        <f ca="1">TREND(R35:R38,C35:C38,INDOOR_DB)</f>
        <v>36.973813131313129</v>
      </c>
      <c r="W37" s="145"/>
      <c r="X37" s="152"/>
      <c r="AC37" s="164" t="s">
        <v>169</v>
      </c>
      <c r="AD37" s="164">
        <v>30</v>
      </c>
      <c r="AE37" s="165">
        <v>12</v>
      </c>
      <c r="AF37" s="165">
        <v>12</v>
      </c>
      <c r="AG37" s="165">
        <v>18</v>
      </c>
      <c r="AH37" s="164"/>
      <c r="AI37" s="164"/>
      <c r="AJ37" s="501"/>
      <c r="AK37" s="166">
        <f t="shared" ca="1" si="20"/>
        <v>36.973333333333329</v>
      </c>
      <c r="AL37" s="167">
        <f t="shared" ca="1" si="38"/>
        <v>10.563809523809523</v>
      </c>
      <c r="AM37" s="167">
        <f t="shared" ca="1" si="39"/>
        <v>10.563809523809523</v>
      </c>
      <c r="AN37" s="167">
        <f t="shared" ca="1" si="40"/>
        <v>15.845714285714285</v>
      </c>
      <c r="AO37" s="178"/>
      <c r="AP37" s="178"/>
      <c r="AQ37" s="169">
        <f t="shared" ca="1" si="23"/>
        <v>45.978888888888889</v>
      </c>
      <c r="AR37" s="170">
        <f ca="1">INDEX('Cap based on indoor unit SZ'!$J$6:$J$21,MATCH(AE37,'Cap based on indoor unit SZ'!$I$6:$I$21))</f>
        <v>13.078888888888891</v>
      </c>
      <c r="AS37" s="170">
        <f ca="1">INDEX('Cap based on indoor unit SZ'!$J$6:$J$21,MATCH(AF37,'Cap based on indoor unit SZ'!$I$6:$I$21))</f>
        <v>13.078888888888891</v>
      </c>
      <c r="AT37" s="170">
        <f ca="1">INDEX('Cap based on indoor unit SZ'!$J$6:$J$21,MATCH(AG37,'Cap based on indoor unit SZ'!$I$6:$I$21))</f>
        <v>19.821111111111112</v>
      </c>
      <c r="AU37" s="179"/>
      <c r="AV37" s="179"/>
      <c r="AW37" s="169">
        <f t="shared" si="24"/>
        <v>36</v>
      </c>
      <c r="AX37" s="170">
        <v>11</v>
      </c>
      <c r="AY37" s="170">
        <v>11</v>
      </c>
      <c r="AZ37" s="170">
        <v>14</v>
      </c>
      <c r="BA37" s="179"/>
      <c r="BB37" s="179"/>
      <c r="BC37" s="172">
        <f t="shared" ca="1" si="25"/>
        <v>36.973333333333329</v>
      </c>
      <c r="BD37" s="173">
        <f t="shared" ca="1" si="41"/>
        <v>10.563809523809523</v>
      </c>
      <c r="BE37" s="173">
        <f t="shared" ca="1" si="41"/>
        <v>10.563809523809523</v>
      </c>
      <c r="BF37" s="173">
        <f t="shared" ca="1" si="41"/>
        <v>15.845714285714285</v>
      </c>
      <c r="BG37" s="180"/>
      <c r="BH37" s="180"/>
      <c r="BI37" s="166">
        <f t="shared" ca="1" si="28"/>
        <v>36.672000000000011</v>
      </c>
      <c r="BJ37" s="167">
        <f t="shared" ca="1" si="42"/>
        <v>10.477714285714288</v>
      </c>
      <c r="BK37" s="167">
        <f t="shared" ca="1" si="43"/>
        <v>10.477714285714288</v>
      </c>
      <c r="BL37" s="167">
        <f t="shared" ca="1" si="44"/>
        <v>15.716571428571433</v>
      </c>
      <c r="BM37" s="178"/>
      <c r="BN37" s="178"/>
      <c r="BO37" s="169">
        <f t="shared" ca="1" si="31"/>
        <v>54.488871794871798</v>
      </c>
      <c r="BP37" s="170">
        <f ca="1">INDEX('Cap based on indoor unit SZ'!$V$43:$V$58,MATCH(AE37,'Cap based on indoor unit SZ'!$U$43:$U$58))</f>
        <v>14.945025641025641</v>
      </c>
      <c r="BQ37" s="170">
        <f ca="1">INDEX('Cap based on indoor unit SZ'!$V$43:$V$58,MATCH(AF37,'Cap based on indoor unit SZ'!$U$43:$U$58))</f>
        <v>14.945025641025641</v>
      </c>
      <c r="BR37" s="170">
        <f ca="1">INDEX('Cap based on indoor unit SZ'!$V$43:$V$58,MATCH(AG37,'Cap based on indoor unit SZ'!$U$43:$U$58))</f>
        <v>24.598820512820513</v>
      </c>
      <c r="BS37" s="179"/>
      <c r="BT37" s="179"/>
      <c r="BU37" s="175">
        <v>12000</v>
      </c>
      <c r="BV37" s="175">
        <v>12000</v>
      </c>
      <c r="BW37" s="175">
        <v>15000</v>
      </c>
      <c r="BX37" s="179"/>
      <c r="BY37" s="179"/>
      <c r="BZ37" s="172">
        <f t="shared" ca="1" si="32"/>
        <v>36.672000000000011</v>
      </c>
      <c r="CA37" s="173">
        <f t="shared" ca="1" si="45"/>
        <v>10.477714285714288</v>
      </c>
      <c r="CB37" s="173">
        <f t="shared" ca="1" si="46"/>
        <v>10.477714285714288</v>
      </c>
      <c r="CC37" s="173">
        <f t="shared" ca="1" si="47"/>
        <v>15.716571428571433</v>
      </c>
      <c r="CD37" s="180"/>
      <c r="CE37" s="180"/>
      <c r="CF37" s="166">
        <f t="shared" ca="1" si="35"/>
        <v>27.688423840151955</v>
      </c>
      <c r="CG37" s="167">
        <f t="shared" ca="1" si="36"/>
        <v>7.9109782400434163</v>
      </c>
      <c r="CH37" s="167">
        <f t="shared" ca="1" si="36"/>
        <v>7.9109782400434163</v>
      </c>
      <c r="CI37" s="167">
        <f t="shared" ca="1" si="36"/>
        <v>11.866467360065124</v>
      </c>
      <c r="CJ37" s="178"/>
      <c r="CK37" s="178"/>
    </row>
    <row r="38" spans="2:89" ht="14.4" thickBot="1">
      <c r="B38" s="204">
        <v>30</v>
      </c>
      <c r="C38" s="205">
        <v>89.6</v>
      </c>
      <c r="D38" s="205">
        <v>73.400000000000006</v>
      </c>
      <c r="E38" s="206" t="s">
        <v>15</v>
      </c>
      <c r="F38" s="207">
        <v>42.95</v>
      </c>
      <c r="G38" s="208">
        <v>43.77</v>
      </c>
      <c r="H38" s="208">
        <v>43.65</v>
      </c>
      <c r="I38" s="208">
        <v>44.49</v>
      </c>
      <c r="J38" s="208">
        <v>44.37</v>
      </c>
      <c r="K38" s="208">
        <v>43.87</v>
      </c>
      <c r="L38" s="209">
        <v>43.33</v>
      </c>
      <c r="M38" s="209">
        <v>42.02</v>
      </c>
      <c r="N38" s="209">
        <v>40.08</v>
      </c>
      <c r="O38" s="209">
        <v>31.65</v>
      </c>
      <c r="P38" s="209">
        <v>29.31</v>
      </c>
      <c r="Q38" s="210">
        <v>25.41</v>
      </c>
      <c r="R38" s="211">
        <f t="shared" ca="1" si="37"/>
        <v>40.079999999999984</v>
      </c>
      <c r="S38" s="152"/>
      <c r="T38" s="152"/>
      <c r="U38" s="146"/>
      <c r="V38" s="213"/>
      <c r="W38" s="152"/>
      <c r="X38" s="152"/>
      <c r="AC38" s="164" t="s">
        <v>167</v>
      </c>
      <c r="AD38" s="164">
        <v>30</v>
      </c>
      <c r="AE38" s="165">
        <v>12</v>
      </c>
      <c r="AF38" s="165">
        <v>18</v>
      </c>
      <c r="AG38" s="165">
        <v>18</v>
      </c>
      <c r="AH38" s="164"/>
      <c r="AI38" s="164"/>
      <c r="AJ38" s="501"/>
      <c r="AK38" s="166">
        <f t="shared" ca="1" si="20"/>
        <v>36.973333333333329</v>
      </c>
      <c r="AL38" s="167">
        <f t="shared" ca="1" si="38"/>
        <v>9.2433333333333323</v>
      </c>
      <c r="AM38" s="167">
        <f t="shared" ca="1" si="39"/>
        <v>13.864999999999998</v>
      </c>
      <c r="AN38" s="167">
        <f t="shared" ca="1" si="40"/>
        <v>13.864999999999998</v>
      </c>
      <c r="AO38" s="178"/>
      <c r="AP38" s="178"/>
      <c r="AQ38" s="169">
        <f t="shared" ca="1" si="23"/>
        <v>52.721111111111114</v>
      </c>
      <c r="AR38" s="170">
        <f ca="1">INDEX('Cap based on indoor unit SZ'!$J$6:$J$21,MATCH(AE38,'Cap based on indoor unit SZ'!$I$6:$I$21))</f>
        <v>13.078888888888891</v>
      </c>
      <c r="AS38" s="170">
        <f ca="1">INDEX('Cap based on indoor unit SZ'!$J$6:$J$21,MATCH(AF38,'Cap based on indoor unit SZ'!$I$6:$I$21))</f>
        <v>19.821111111111112</v>
      </c>
      <c r="AT38" s="170">
        <f ca="1">INDEX('Cap based on indoor unit SZ'!$J$6:$J$21,MATCH(AG38,'Cap based on indoor unit SZ'!$I$6:$I$21))</f>
        <v>19.821111111111112</v>
      </c>
      <c r="AU38" s="179"/>
      <c r="AV38" s="179"/>
      <c r="AW38" s="169">
        <f t="shared" si="24"/>
        <v>35.999000000000002</v>
      </c>
      <c r="AX38" s="170">
        <v>9.3330000000000002</v>
      </c>
      <c r="AY38" s="170">
        <v>13.333</v>
      </c>
      <c r="AZ38" s="170">
        <v>13.333</v>
      </c>
      <c r="BA38" s="179"/>
      <c r="BB38" s="179"/>
      <c r="BC38" s="172">
        <f t="shared" ca="1" si="25"/>
        <v>36.973333333333329</v>
      </c>
      <c r="BD38" s="173">
        <f t="shared" ca="1" si="41"/>
        <v>9.2433333333333323</v>
      </c>
      <c r="BE38" s="173">
        <f t="shared" ca="1" si="41"/>
        <v>13.864999999999998</v>
      </c>
      <c r="BF38" s="173">
        <f t="shared" ca="1" si="41"/>
        <v>13.864999999999998</v>
      </c>
      <c r="BG38" s="180"/>
      <c r="BH38" s="180"/>
      <c r="BI38" s="166">
        <f t="shared" ca="1" si="28"/>
        <v>36.672000000000004</v>
      </c>
      <c r="BJ38" s="167">
        <f t="shared" ca="1" si="42"/>
        <v>9.168000000000001</v>
      </c>
      <c r="BK38" s="167">
        <f t="shared" ca="1" si="43"/>
        <v>13.752000000000002</v>
      </c>
      <c r="BL38" s="167">
        <f t="shared" ca="1" si="44"/>
        <v>13.752000000000002</v>
      </c>
      <c r="BM38" s="178"/>
      <c r="BN38" s="178"/>
      <c r="BO38" s="169">
        <f t="shared" ca="1" si="31"/>
        <v>64.14266666666667</v>
      </c>
      <c r="BP38" s="170">
        <f ca="1">INDEX('Cap based on indoor unit SZ'!$V$43:$V$58,MATCH(AE38,'Cap based on indoor unit SZ'!$U$43:$U$58))</f>
        <v>14.945025641025641</v>
      </c>
      <c r="BQ38" s="170">
        <f ca="1">INDEX('Cap based on indoor unit SZ'!$V$43:$V$58,MATCH(AF38,'Cap based on indoor unit SZ'!$U$43:$U$58))</f>
        <v>24.598820512820513</v>
      </c>
      <c r="BR38" s="170">
        <f ca="1">INDEX('Cap based on indoor unit SZ'!$V$43:$V$58,MATCH(AG38,'Cap based on indoor unit SZ'!$U$43:$U$58))</f>
        <v>24.598820512820513</v>
      </c>
      <c r="BS38" s="179"/>
      <c r="BT38" s="179"/>
      <c r="BU38" s="175">
        <v>10000</v>
      </c>
      <c r="BV38" s="175">
        <v>14500</v>
      </c>
      <c r="BW38" s="175">
        <v>14500</v>
      </c>
      <c r="BX38" s="179"/>
      <c r="BY38" s="179"/>
      <c r="BZ38" s="172">
        <f t="shared" ca="1" si="32"/>
        <v>36.672000000000004</v>
      </c>
      <c r="CA38" s="173">
        <f t="shared" ca="1" si="45"/>
        <v>9.168000000000001</v>
      </c>
      <c r="CB38" s="173">
        <f t="shared" ca="1" si="46"/>
        <v>13.752000000000002</v>
      </c>
      <c r="CC38" s="173">
        <f t="shared" ca="1" si="47"/>
        <v>13.752000000000002</v>
      </c>
      <c r="CD38" s="180"/>
      <c r="CE38" s="180"/>
      <c r="CF38" s="166">
        <f t="shared" ca="1" si="35"/>
        <v>27.688423840151955</v>
      </c>
      <c r="CG38" s="167">
        <f t="shared" ca="1" si="36"/>
        <v>6.9221059600379888</v>
      </c>
      <c r="CH38" s="167">
        <f t="shared" ca="1" si="36"/>
        <v>10.383158940056983</v>
      </c>
      <c r="CI38" s="167">
        <f t="shared" ca="1" si="36"/>
        <v>10.383158940056983</v>
      </c>
      <c r="CJ38" s="178"/>
      <c r="CK38" s="178"/>
    </row>
    <row r="39" spans="2:89">
      <c r="B39" s="188">
        <v>36</v>
      </c>
      <c r="C39" s="189">
        <v>69.8</v>
      </c>
      <c r="D39" s="189">
        <v>59</v>
      </c>
      <c r="E39" s="190" t="s">
        <v>15</v>
      </c>
      <c r="F39" s="191">
        <v>35.880000000000003</v>
      </c>
      <c r="G39" s="192">
        <v>36.57</v>
      </c>
      <c r="H39" s="192">
        <v>36.15</v>
      </c>
      <c r="I39" s="192">
        <v>36.81</v>
      </c>
      <c r="J39" s="192">
        <v>37.18</v>
      </c>
      <c r="K39" s="192">
        <v>38.15</v>
      </c>
      <c r="L39" s="193">
        <v>38.590000000000003</v>
      </c>
      <c r="M39" s="193">
        <v>34.799999999999997</v>
      </c>
      <c r="N39" s="193">
        <v>32.049999999999997</v>
      </c>
      <c r="O39" s="193">
        <v>26.27</v>
      </c>
      <c r="P39" s="193">
        <v>24.15</v>
      </c>
      <c r="Q39" s="194">
        <v>22.01</v>
      </c>
      <c r="R39" s="195">
        <f t="shared" ca="1" si="37"/>
        <v>32.049999999999997</v>
      </c>
      <c r="S39" s="152"/>
      <c r="T39" s="152"/>
      <c r="U39" s="146" t="s">
        <v>96</v>
      </c>
      <c r="V39" s="147">
        <f ca="1">FORECAST(INDOOR_DB,OFFSET(R39:R42,MATCH(INDOOR_DB,C39:C42,1)-1,0,2),OFFSET(C39:C42,MATCH(INDOOR_DB,C39:C42,1)-1,0,2))</f>
        <v>38.965555555555561</v>
      </c>
      <c r="W39" s="145">
        <f>B39</f>
        <v>36</v>
      </c>
      <c r="X39" s="147">
        <f ca="1">IF(OR(INDOOR_DB&lt;C39,INDOOR_DB&gt;C42),V41,V39)</f>
        <v>38.965555555555561</v>
      </c>
      <c r="AC39" s="164" t="s">
        <v>214</v>
      </c>
      <c r="AD39" s="164">
        <v>30</v>
      </c>
      <c r="AE39" s="165">
        <v>12</v>
      </c>
      <c r="AF39" s="165">
        <v>12</v>
      </c>
      <c r="AG39" s="165">
        <v>24</v>
      </c>
      <c r="AH39" s="165"/>
      <c r="AI39" s="164"/>
      <c r="AJ39" s="501"/>
      <c r="AK39" s="166">
        <f t="shared" ca="1" si="20"/>
        <v>36.973333333333329</v>
      </c>
      <c r="AL39" s="167">
        <f t="shared" ca="1" si="38"/>
        <v>9.2433333333333323</v>
      </c>
      <c r="AM39" s="167">
        <f t="shared" ca="1" si="39"/>
        <v>9.2433333333333323</v>
      </c>
      <c r="AN39" s="167">
        <f t="shared" ca="1" si="40"/>
        <v>18.486666666666665</v>
      </c>
      <c r="AO39" s="178"/>
      <c r="AP39" s="178"/>
      <c r="AQ39" s="169">
        <f t="shared" ca="1" si="23"/>
        <v>50.61</v>
      </c>
      <c r="AR39" s="170">
        <f ca="1">INDEX('Cap based on indoor unit SZ'!$J$6:$J$21,MATCH(AE39,'Cap based on indoor unit SZ'!$I$6:$I$21))</f>
        <v>13.078888888888891</v>
      </c>
      <c r="AS39" s="170">
        <f ca="1">INDEX('Cap based on indoor unit SZ'!$J$6:$J$21,MATCH(AF39,'Cap based on indoor unit SZ'!$I$6:$I$21))</f>
        <v>13.078888888888891</v>
      </c>
      <c r="AT39" s="170">
        <f ca="1">INDEX('Cap based on indoor unit SZ'!$J$6:$J$21,MATCH(AG39,'Cap based on indoor unit SZ'!$I$6:$I$21))</f>
        <v>24.452222222222218</v>
      </c>
      <c r="AU39" s="179"/>
      <c r="AV39" s="179"/>
      <c r="AW39" s="169">
        <f t="shared" si="24"/>
        <v>36</v>
      </c>
      <c r="AX39" s="170">
        <v>8</v>
      </c>
      <c r="AY39" s="170">
        <v>8</v>
      </c>
      <c r="AZ39" s="170">
        <v>20</v>
      </c>
      <c r="BA39" s="179"/>
      <c r="BB39" s="179"/>
      <c r="BC39" s="172">
        <f t="shared" ca="1" si="25"/>
        <v>36.973333333333329</v>
      </c>
      <c r="BD39" s="173">
        <f t="shared" ca="1" si="41"/>
        <v>9.2433333333333323</v>
      </c>
      <c r="BE39" s="173">
        <f t="shared" ca="1" si="41"/>
        <v>9.2433333333333323</v>
      </c>
      <c r="BF39" s="173">
        <f t="shared" ca="1" si="41"/>
        <v>18.486666666666665</v>
      </c>
      <c r="BG39" s="180"/>
      <c r="BH39" s="180"/>
      <c r="BI39" s="166">
        <f t="shared" ca="1" si="28"/>
        <v>36.672000000000004</v>
      </c>
      <c r="BJ39" s="167">
        <f t="shared" ca="1" si="42"/>
        <v>9.168000000000001</v>
      </c>
      <c r="BK39" s="167">
        <f t="shared" ca="1" si="43"/>
        <v>9.168000000000001</v>
      </c>
      <c r="BL39" s="167">
        <f t="shared" ca="1" si="44"/>
        <v>18.336000000000002</v>
      </c>
      <c r="BM39" s="178"/>
      <c r="BN39" s="178"/>
      <c r="BO39" s="169">
        <f t="shared" ca="1" si="31"/>
        <v>60.180051282051281</v>
      </c>
      <c r="BP39" s="170">
        <f ca="1">INDEX('Cap based on indoor unit SZ'!$V$43:$V$58,MATCH(AE39,'Cap based on indoor unit SZ'!$U$43:$U$58))</f>
        <v>14.945025641025641</v>
      </c>
      <c r="BQ39" s="170">
        <f ca="1">INDEX('Cap based on indoor unit SZ'!$V$43:$V$58,MATCH(AF39,'Cap based on indoor unit SZ'!$U$43:$U$58))</f>
        <v>14.945025641025641</v>
      </c>
      <c r="BR39" s="170">
        <f ca="1">INDEX('Cap based on indoor unit SZ'!$V$43:$V$58,MATCH(AG39,'Cap based on indoor unit SZ'!$U$43:$U$58))</f>
        <v>30.290000000000003</v>
      </c>
      <c r="BS39" s="179"/>
      <c r="BT39" s="179"/>
      <c r="BU39" s="175">
        <v>9000</v>
      </c>
      <c r="BV39" s="175">
        <v>9000</v>
      </c>
      <c r="BW39" s="175">
        <v>21000</v>
      </c>
      <c r="BX39" s="179"/>
      <c r="BY39" s="179"/>
      <c r="BZ39" s="172">
        <f t="shared" ca="1" si="32"/>
        <v>36.672000000000004</v>
      </c>
      <c r="CA39" s="173">
        <f t="shared" ca="1" si="45"/>
        <v>9.168000000000001</v>
      </c>
      <c r="CB39" s="173">
        <f t="shared" ca="1" si="46"/>
        <v>9.168000000000001</v>
      </c>
      <c r="CC39" s="173">
        <f t="shared" ca="1" si="47"/>
        <v>18.336000000000002</v>
      </c>
      <c r="CD39" s="180"/>
      <c r="CE39" s="180"/>
      <c r="CF39" s="166">
        <f t="shared" ca="1" si="35"/>
        <v>27.688423840151955</v>
      </c>
      <c r="CG39" s="167">
        <f t="shared" ca="1" si="36"/>
        <v>6.9221059600379888</v>
      </c>
      <c r="CH39" s="167">
        <f t="shared" ca="1" si="36"/>
        <v>6.9221059600379888</v>
      </c>
      <c r="CI39" s="167">
        <f t="shared" ca="1" si="36"/>
        <v>13.844211920075978</v>
      </c>
      <c r="CJ39" s="178"/>
      <c r="CK39" s="178"/>
    </row>
    <row r="40" spans="2:89">
      <c r="B40" s="196">
        <v>36</v>
      </c>
      <c r="C40" s="197">
        <v>75.2</v>
      </c>
      <c r="D40" s="197">
        <v>62.6</v>
      </c>
      <c r="E40" s="198" t="s">
        <v>15</v>
      </c>
      <c r="F40" s="199">
        <v>38.76</v>
      </c>
      <c r="G40" s="200">
        <v>39.5</v>
      </c>
      <c r="H40" s="200">
        <v>39.04</v>
      </c>
      <c r="I40" s="200">
        <v>39.75</v>
      </c>
      <c r="J40" s="200">
        <v>40.15</v>
      </c>
      <c r="K40" s="200">
        <v>41.2</v>
      </c>
      <c r="L40" s="201">
        <v>41.68</v>
      </c>
      <c r="M40" s="201">
        <v>37.58</v>
      </c>
      <c r="N40" s="201">
        <v>34.61</v>
      </c>
      <c r="O40" s="201">
        <v>28.37</v>
      </c>
      <c r="P40" s="201">
        <v>26.08</v>
      </c>
      <c r="Q40" s="202">
        <v>23.77</v>
      </c>
      <c r="R40" s="203">
        <f t="shared" ca="1" si="37"/>
        <v>34.610000000000014</v>
      </c>
      <c r="S40" s="152"/>
      <c r="T40" s="152"/>
      <c r="U40" s="146"/>
      <c r="V40" s="148"/>
      <c r="W40" s="145"/>
      <c r="X40" s="152"/>
      <c r="AC40" s="164" t="s">
        <v>162</v>
      </c>
      <c r="AD40" s="164">
        <v>30</v>
      </c>
      <c r="AE40" s="165">
        <v>9</v>
      </c>
      <c r="AF40" s="165">
        <v>9</v>
      </c>
      <c r="AG40" s="165">
        <v>9</v>
      </c>
      <c r="AH40" s="165">
        <v>9</v>
      </c>
      <c r="AI40" s="164"/>
      <c r="AJ40" s="510">
        <v>4</v>
      </c>
      <c r="AK40" s="166">
        <f t="shared" ca="1" si="20"/>
        <v>36.973333333333329</v>
      </c>
      <c r="AL40" s="167">
        <f t="shared" ref="AL40:AL46" ca="1" si="48">IF((INDEX($AA$4:$AA$7,MATCH(INDOOR_1,$Z$4:$Z$7))*(INDEX($X$27:$X$46,MATCH($AD40,$W$27:$W$46,1))/(INDEX($AA$4:$AA$7,MATCH(INDOOR_1,$Z$4:$Z$7))+INDEX($AA$4:$AA$7,MATCH(INDOOR_2,$Z$4:$Z$7))+INDEX($AA$4:$AA$7,MATCH(INDOOR_3,$Z$4:$Z$7))+INDEX($AA$4:$AA$7,MATCH(INDOOR_4,$Z$4:$Z$7)))))
&gt;AR40,AR40,
(INDEX($AA$4:$AA$7,MATCH(INDOOR_1,$Z$4:$Z$7))*(INDEX($X$27:$X$46,MATCH($AD40,$W$27:$W$46,1))/(INDEX($AA$4:$AA$7,MATCH(INDOOR_1,$Z$4:$Z$7))+INDEX($AA$4:$AA$7,MATCH(INDOOR_2,$Z$4:$Z$7))+INDEX($AA$4:$AA$7,MATCH(INDOOR_3,$Z$4:$Z$7))+INDEX($AA$4:$AA$7,MATCH(INDOOR_4,$Z$4:$Z$7))))))</f>
        <v>9.2433333333333323</v>
      </c>
      <c r="AM40" s="167">
        <f t="shared" ref="AM40:AM46" ca="1" si="49">IF((INDEX($AA$4:$AA$7,MATCH(INDOOR_2,$Z$4:$Z$7))*(INDEX($X$27:$X$46,MATCH($AD40,$W$27:$W$46,1))/(INDEX($AA$4:$AA$7,MATCH(INDOOR_1,$Z$4:$Z$7))+INDEX($AA$4:$AA$7,MATCH(INDOOR_2,$Z$4:$Z$7))+INDEX($AA$4:$AA$7,MATCH(INDOOR_3,$Z$4:$Z$7))+INDEX($AA$4:$AA$7,MATCH(INDOOR_4,$Z$4:$Z$7)))))
&gt;AS40,AS40,
(INDEX($AA$4:$AA$7,MATCH(INDOOR_2,$Z$4:$Z$7))*(INDEX($X$27:$X$46,MATCH($AD40,$W$27:$W$46,1))/(INDEX($AA$4:$AA$7,MATCH(INDOOR_1,$Z$4:$Z$7))+INDEX($AA$4:$AA$7,MATCH(INDOOR_2,$Z$4:$Z$7))+INDEX($AA$4:$AA$7,MATCH(INDOOR_3,$Z$4:$Z$7))+INDEX($AA$4:$AA$7,MATCH(INDOOR_4,$Z$4:$Z$7))))))</f>
        <v>9.2433333333333323</v>
      </c>
      <c r="AN40" s="167">
        <f t="shared" ref="AN40:AN46" ca="1" si="50">IF((INDEX($AA$4:$AA$7,MATCH(INDOOR_3,$Z$4:$Z$7))*(INDEX($X$27:$X$46,MATCH($AD40,$W$27:$W$46,1))/(INDEX($AA$4:$AA$7,MATCH(INDOOR_1,$Z$4:$Z$7))+INDEX($AA$4:$AA$7,MATCH(INDOOR_2,$Z$4:$Z$7))+INDEX($AA$4:$AA$7,MATCH(INDOOR_3,$Z$4:$Z$7))+INDEX($AA$4:$AA$7,MATCH(INDOOR_4,$Z$4:$Z$7)))))
&gt;AT40,AT40,
(INDEX($AA$4:$AA$7,MATCH(INDOOR_3,$Z$4:$Z$7))*(INDEX($X$27:$X$46,MATCH($AD40,$W$27:$W$46,1))/(INDEX($AA$4:$AA$7,MATCH(INDOOR_1,$Z$4:$Z$7))+INDEX($AA$4:$AA$7,MATCH(INDOOR_2,$Z$4:$Z$7))+INDEX($AA$4:$AA$7,MATCH(INDOOR_3,$Z$4:$Z$7))+INDEX($AA$4:$AA$7,MATCH(INDOOR_4,$Z$4:$Z$7))))))</f>
        <v>9.2433333333333323</v>
      </c>
      <c r="AO40" s="167">
        <f t="shared" ref="AO40:AO46" ca="1" si="51">IF((INDEX($AA$4:$AA$7,MATCH(INDOOR_4,$Z$4:$Z$7))*(INDEX($X$27:$X$46,MATCH($AD40,$W$27:$W$46,1))/(INDEX($AA$4:$AA$7,MATCH(INDOOR_1,$Z$4:$Z$7))+INDEX($AA$4:$AA$7,MATCH(INDOOR_2,$Z$4:$Z$7))+INDEX($AA$4:$AA$7,MATCH(INDOOR_3,$Z$4:$Z$7))+INDEX($AA$4:$AA$7,MATCH(INDOOR_4,$Z$4:$Z$7)))))
&gt;AU40,AU40,
(INDEX($AA$4:$AA$7,MATCH(INDOOR_4,$Z$4:$Z$7))*(INDEX($X$27:$X$46,MATCH($AD40,$W$27:$W$46,1))/(INDEX($AA$4:$AA$7,MATCH(INDOOR_1,$Z$4:$Z$7))+INDEX($AA$4:$AA$7,MATCH(INDOOR_2,$Z$4:$Z$7))+INDEX($AA$4:$AA$7,MATCH(INDOOR_3,$Z$4:$Z$7))+INDEX($AA$4:$AA$7,MATCH(INDOOR_4,$Z$4:$Z$7))))))</f>
        <v>9.2433333333333323</v>
      </c>
      <c r="AP40" s="178"/>
      <c r="AQ40" s="169">
        <f t="shared" ca="1" si="23"/>
        <v>41.852444444444444</v>
      </c>
      <c r="AR40" s="170">
        <f ca="1">INDEX('Cap based on indoor unit SZ'!$J$6:$J$21,MATCH(AE40,'Cap based on indoor unit SZ'!$I$6:$I$21))</f>
        <v>10.463111111111111</v>
      </c>
      <c r="AS40" s="170">
        <f ca="1">INDEX('Cap based on indoor unit SZ'!$J$6:$J$21,MATCH(AF40,'Cap based on indoor unit SZ'!$I$6:$I$21))</f>
        <v>10.463111111111111</v>
      </c>
      <c r="AT40" s="170">
        <f ca="1">INDEX('Cap based on indoor unit SZ'!$J$6:$J$21,MATCH(AG40,'Cap based on indoor unit SZ'!$I$6:$I$21))</f>
        <v>10.463111111111111</v>
      </c>
      <c r="AU40" s="170">
        <f ca="1">INDEX('Cap based on indoor unit SZ'!$J$6:$J$21,MATCH(AH40,'Cap based on indoor unit SZ'!$I$6:$I$21))</f>
        <v>10.463111111111111</v>
      </c>
      <c r="AV40" s="179"/>
      <c r="AW40" s="169">
        <f t="shared" si="24"/>
        <v>36</v>
      </c>
      <c r="AX40" s="170">
        <v>9</v>
      </c>
      <c r="AY40" s="170">
        <v>9</v>
      </c>
      <c r="AZ40" s="170">
        <v>9</v>
      </c>
      <c r="BA40" s="170">
        <v>9</v>
      </c>
      <c r="BB40" s="179"/>
      <c r="BC40" s="172">
        <f t="shared" ca="1" si="25"/>
        <v>36.973333333333329</v>
      </c>
      <c r="BD40" s="173">
        <f t="shared" ref="BD40:BG46" ca="1" si="52">(INDEX($AA$4:$AA$7,MATCH(AE40,$Z$4:$Z$7))*(INDEX($X$27:$X$46,MATCH($AD40,$W$27:$W$46,1))/(INDEX($AA$4:$AA$7,MATCH($AE40,$Z$4:$Z$7))+INDEX($AA$4:$AA$7,MATCH($AF40,$Z$4:$Z$7))+INDEX($AA$4:$AA$7,MATCH($AG40,$Z$4:$Z$7))+INDEX($AA$4:$AA$7,MATCH($AH40,$Z$4:$Z$7)))))</f>
        <v>9.2433333333333323</v>
      </c>
      <c r="BE40" s="173">
        <f t="shared" ca="1" si="52"/>
        <v>9.2433333333333323</v>
      </c>
      <c r="BF40" s="173">
        <f t="shared" ca="1" si="52"/>
        <v>9.2433333333333323</v>
      </c>
      <c r="BG40" s="173">
        <f t="shared" ca="1" si="52"/>
        <v>9.2433333333333323</v>
      </c>
      <c r="BH40" s="180"/>
      <c r="BI40" s="166">
        <f t="shared" ca="1" si="28"/>
        <v>36.672000000000004</v>
      </c>
      <c r="BJ40" s="167">
        <f t="shared" ref="BJ40:BJ46" ca="1" si="53">IF((INDEX($AA$4:$AA$7,MATCH(INDOOR_1,$Z$4:$Z$7))*(INDEX($X$118:$X$137,MATCH($AD40,$W$118:$W$137,1))/(INDEX($AA$4:$AA$7,MATCH(INDOOR_1,$Z$4:$Z$7))+INDEX($AA$4:$AA$7,MATCH(INDOOR_2,$Z$4:$Z$7))+INDEX($AA$4:$AA$7,MATCH(INDOOR_3,$Z$4:$Z$7))+INDEX($AA$4:$AA$7,MATCH(INDOOR_4,$Z$4:$Z$7)))))
&gt;BP40,BP40,
(INDEX($AA$4:$AA$7,MATCH(INDOOR_1,$Z$4:$Z$7))*(INDEX($X$118:$X$137,MATCH($AD40,$W$118:$W$137,1))/(INDEX($AA$4:$AA$7,MATCH(INDOOR_1,$Z$4:$Z$7))+INDEX($AA$4:$AA$7,MATCH(INDOOR_2,$Z$4:$Z$7))+INDEX($AA$4:$AA$7,MATCH(INDOOR_3,$Z$4:$Z$7))+INDEX($AA$4:$AA$7,MATCH(INDOOR_4,$Z$4:$Z$7))))))</f>
        <v>9.168000000000001</v>
      </c>
      <c r="BK40" s="167">
        <f t="shared" ref="BK40:BK46" ca="1" si="54">IF((INDEX($AA$4:$AA$7,MATCH(INDOOR_2,$Z$4:$Z$7))*(INDEX($X$118:$X$137,MATCH($AD40,$W$118:$W$137,1))/(INDEX($AA$4:$AA$7,MATCH(INDOOR_1,$Z$4:$Z$7))+INDEX($AA$4:$AA$7,MATCH(INDOOR_2,$Z$4:$Z$7))+INDEX($AA$4:$AA$7,MATCH(INDOOR_3,$Z$4:$Z$7))+INDEX($AA$4:$AA$7,MATCH(INDOOR_4,$Z$4:$Z$7)))))
&gt;BQ40,BQ40,
(INDEX($AA$4:$AA$7,MATCH(INDOOR_2,$Z$4:$Z$7))*(INDEX($X$118:$X$137,MATCH($AD40,$W$118:$W$137,1))/(INDEX($AA$4:$AA$7,MATCH(INDOOR_1,$Z$4:$Z$7))+INDEX($AA$4:$AA$7,MATCH(INDOOR_2,$Z$4:$Z$7))+INDEX($AA$4:$AA$7,MATCH(INDOOR_3,$Z$4:$Z$7))+INDEX($AA$4:$AA$7,MATCH(INDOOR_4,$Z$4:$Z$7))))))</f>
        <v>9.168000000000001</v>
      </c>
      <c r="BL40" s="167">
        <f t="shared" ref="BL40:BL46" ca="1" si="55">IF((INDEX($AA$4:$AA$7,MATCH(INDOOR_3,$Z$4:$Z$7))*(INDEX($X$118:$X$137,MATCH($AD40,$W$118:$W$137,1))/(INDEX($AA$4:$AA$7,MATCH(INDOOR_1,$Z$4:$Z$7))+INDEX($AA$4:$AA$7,MATCH(INDOOR_2,$Z$4:$Z$7))+INDEX($AA$4:$AA$7,MATCH(INDOOR_3,$Z$4:$Z$7))+INDEX($AA$4:$AA$7,MATCH(INDOOR_4,$Z$4:$Z$7)))))
&gt;BR40,BR40,
(INDEX($AA$4:$AA$7,MATCH(INDOOR_3,$Z$4:$Z$7))*(INDEX($X$118:$X$137,MATCH($AD40,$W$118:$W$137,1))/(INDEX($AA$4:$AA$7,MATCH(INDOOR_1,$Z$4:$Z$7))+INDEX($AA$4:$AA$7,MATCH(INDOOR_2,$Z$4:$Z$7))+INDEX($AA$4:$AA$7,MATCH(INDOOR_3,$Z$4:$Z$7))+INDEX($AA$4:$AA$7,MATCH(INDOOR_4,$Z$4:$Z$7))))))</f>
        <v>9.168000000000001</v>
      </c>
      <c r="BM40" s="167">
        <f t="shared" ref="BM40:BM46" ca="1" si="56">IF((INDEX($AA$4:$AA$7,MATCH(INDOOR_4,$Z$4:$Z$7))*(INDEX($X$118:$X$137,MATCH($AD40,$W$118:$W$137,1))/(INDEX($AA$4:$AA$7,MATCH(INDOOR_1,$Z$4:$Z$7))+INDEX($AA$4:$AA$7,MATCH(INDOOR_2,$Z$4:$Z$7))+INDEX($AA$4:$AA$7,MATCH(INDOOR_3,$Z$4:$Z$7))+INDEX($AA$4:$AA$7,MATCH(INDOOR_4,$Z$4:$Z$7)))))
&gt;BS40,BS40,
(INDEX($AA$4:$AA$7,MATCH(INDOOR_4,$Z$4:$Z$7))*(INDEX($X$118:$X$137,MATCH($AD40,$W$118:$W$137,1))/(INDEX($AA$4:$AA$7,MATCH(INDOOR_1,$Z$4:$Z$7))+INDEX($AA$4:$AA$7,MATCH(INDOOR_2,$Z$4:$Z$7))+INDEX($AA$4:$AA$7,MATCH(INDOOR_3,$Z$4:$Z$7))+INDEX($AA$4:$AA$7,MATCH(INDOOR_4,$Z$4:$Z$7))))))</f>
        <v>9.168000000000001</v>
      </c>
      <c r="BN40" s="178"/>
      <c r="BO40" s="169">
        <f t="shared" ca="1" si="31"/>
        <v>47.824082051282048</v>
      </c>
      <c r="BP40" s="170">
        <f ca="1">INDEX('Cap based on indoor unit SZ'!$V$43:$V$58,MATCH(AE40,'Cap based on indoor unit SZ'!$U$43:$U$58))</f>
        <v>11.956020512820512</v>
      </c>
      <c r="BQ40" s="170">
        <f ca="1">INDEX('Cap based on indoor unit SZ'!$V$43:$V$58,MATCH(AF40,'Cap based on indoor unit SZ'!$U$43:$U$58))</f>
        <v>11.956020512820512</v>
      </c>
      <c r="BR40" s="170">
        <f ca="1">INDEX('Cap based on indoor unit SZ'!$V$43:$V$58,MATCH(AG40,'Cap based on indoor unit SZ'!$U$43:$U$58))</f>
        <v>11.956020512820512</v>
      </c>
      <c r="BS40" s="170">
        <f ca="1">INDEX('Cap based on indoor unit SZ'!$V$43:$V$58,MATCH(AH40,'Cap based on indoor unit SZ'!$U$43:$U$58))</f>
        <v>11.956020512820512</v>
      </c>
      <c r="BT40" s="179"/>
      <c r="BU40" s="175">
        <v>9500</v>
      </c>
      <c r="BV40" s="175">
        <v>9500</v>
      </c>
      <c r="BW40" s="175">
        <v>9500</v>
      </c>
      <c r="BX40" s="175">
        <v>9500</v>
      </c>
      <c r="BY40" s="179"/>
      <c r="BZ40" s="172">
        <f t="shared" ca="1" si="32"/>
        <v>36.672000000000004</v>
      </c>
      <c r="CA40" s="173">
        <f t="shared" ref="CA40:CA46" ca="1" si="57">(INDEX($AA$4:$AA$7,MATCH(INDOOR_1,$Z$4:$Z$7))*(INDEX($X$118:$X$137,MATCH($AD40,$W$118:$W$137,1))/(INDEX($AA$4:$AA$7,MATCH(INDOOR_1,$Z$4:$Z$7))+INDEX($AA$4:$AA$7,MATCH(INDOOR_2,$Z$4:$Z$7))+INDEX($AA$4:$AA$7,MATCH(INDOOR_3,$Z$4:$Z$7))+INDEX($AA$4:$AA$7,MATCH(INDOOR_4,$Z$4:$Z$7)))))</f>
        <v>9.168000000000001</v>
      </c>
      <c r="CB40" s="173">
        <f t="shared" ref="CB40:CB46" ca="1" si="58">(INDEX($AA$4:$AA$7,MATCH(INDOOR_2,$Z$4:$Z$7))*(INDEX($X$118:$X$137,MATCH($AD40,$W$118:$W$137,1))/(INDEX($AA$4:$AA$7,MATCH(INDOOR_1,$Z$4:$Z$7))+INDEX($AA$4:$AA$7,MATCH(INDOOR_2,$Z$4:$Z$7))+INDEX($AA$4:$AA$7,MATCH(INDOOR_3,$Z$4:$Z$7))+INDEX($AA$4:$AA$7,MATCH(INDOOR_4,$Z$4:$Z$7)))))</f>
        <v>9.168000000000001</v>
      </c>
      <c r="CC40" s="173">
        <f t="shared" ref="CC40:CC46" ca="1" si="59">(INDEX($AA$4:$AA$7,MATCH(INDOOR_3,$Z$4:$Z$7))*(INDEX($X$118:$X$137,MATCH($AD40,$W$118:$W$137,1))/(INDEX($AA$4:$AA$7,MATCH(INDOOR_1,$Z$4:$Z$7))+INDEX($AA$4:$AA$7,MATCH(INDOOR_2,$Z$4:$Z$7))+INDEX($AA$4:$AA$7,MATCH(INDOOR_3,$Z$4:$Z$7))+INDEX($AA$4:$AA$7,MATCH(INDOOR_4,$Z$4:$Z$7)))))</f>
        <v>9.168000000000001</v>
      </c>
      <c r="CD40" s="173">
        <f t="shared" ref="CD40:CD46" ca="1" si="60">(INDEX($AA$4:$AA$7,MATCH(INDOOR_4,$Z$4:$Z$7))*(INDEX($X$118:$X$137,MATCH($AD40,$W$118:$W$137,1))/(INDEX($AA$4:$AA$7,MATCH(INDOOR_1,$Z$4:$Z$7))+INDEX($AA$4:$AA$7,MATCH(INDOOR_2,$Z$4:$Z$7))+INDEX($AA$4:$AA$7,MATCH(INDOOR_3,$Z$4:$Z$7))+INDEX($AA$4:$AA$7,MATCH(INDOOR_4,$Z$4:$Z$7)))))</f>
        <v>9.168000000000001</v>
      </c>
      <c r="CE40" s="180"/>
      <c r="CF40" s="166">
        <f t="shared" ca="1" si="35"/>
        <v>27.688423840151955</v>
      </c>
      <c r="CG40" s="167">
        <f t="shared" ca="1" si="36"/>
        <v>6.9221059600379888</v>
      </c>
      <c r="CH40" s="167">
        <f t="shared" ca="1" si="36"/>
        <v>6.9221059600379888</v>
      </c>
      <c r="CI40" s="167">
        <f t="shared" ca="1" si="36"/>
        <v>6.9221059600379888</v>
      </c>
      <c r="CJ40" s="167">
        <f t="shared" ca="1" si="36"/>
        <v>6.9221059600379888</v>
      </c>
      <c r="CK40" s="178"/>
    </row>
    <row r="41" spans="2:89">
      <c r="B41" s="196">
        <v>36</v>
      </c>
      <c r="C41" s="197">
        <v>80.599999999999994</v>
      </c>
      <c r="D41" s="197">
        <v>66.2</v>
      </c>
      <c r="E41" s="198" t="s">
        <v>15</v>
      </c>
      <c r="F41" s="199">
        <v>40.78</v>
      </c>
      <c r="G41" s="200">
        <v>41.56</v>
      </c>
      <c r="H41" s="200">
        <v>41.25</v>
      </c>
      <c r="I41" s="200">
        <v>42.05</v>
      </c>
      <c r="J41" s="200">
        <v>42.42</v>
      </c>
      <c r="K41" s="200">
        <v>42.88</v>
      </c>
      <c r="L41" s="201">
        <v>43.75</v>
      </c>
      <c r="M41" s="201">
        <v>41.65</v>
      </c>
      <c r="N41" s="201">
        <v>39.51</v>
      </c>
      <c r="O41" s="201">
        <v>32.799999999999997</v>
      </c>
      <c r="P41" s="201">
        <v>30.41</v>
      </c>
      <c r="Q41" s="202">
        <v>25.87</v>
      </c>
      <c r="R41" s="203">
        <f t="shared" ca="1" si="37"/>
        <v>39.510000000000005</v>
      </c>
      <c r="S41" s="152"/>
      <c r="T41" s="152"/>
      <c r="U41" s="146" t="s">
        <v>97</v>
      </c>
      <c r="V41" s="147">
        <f ca="1">TREND(R39:R42,C39:C42,INDOOR_DB)</f>
        <v>37.510757575757587</v>
      </c>
      <c r="W41" s="145"/>
      <c r="X41" s="152"/>
      <c r="AC41" s="164" t="s">
        <v>161</v>
      </c>
      <c r="AD41" s="164">
        <v>30</v>
      </c>
      <c r="AE41" s="165">
        <v>9</v>
      </c>
      <c r="AF41" s="165">
        <v>9</v>
      </c>
      <c r="AG41" s="165">
        <v>9</v>
      </c>
      <c r="AH41" s="165">
        <v>12</v>
      </c>
      <c r="AI41" s="164"/>
      <c r="AJ41" s="510"/>
      <c r="AK41" s="166">
        <f t="shared" ca="1" si="20"/>
        <v>36.973333333333329</v>
      </c>
      <c r="AL41" s="167">
        <f t="shared" ca="1" si="48"/>
        <v>8.5323076923076915</v>
      </c>
      <c r="AM41" s="167">
        <f t="shared" ca="1" si="49"/>
        <v>8.5323076923076915</v>
      </c>
      <c r="AN41" s="167">
        <f t="shared" ca="1" si="50"/>
        <v>8.5323076923076915</v>
      </c>
      <c r="AO41" s="167">
        <f t="shared" ca="1" si="51"/>
        <v>11.376410256410255</v>
      </c>
      <c r="AP41" s="178"/>
      <c r="AQ41" s="169">
        <f t="shared" ca="1" si="23"/>
        <v>44.468222222222224</v>
      </c>
      <c r="AR41" s="170">
        <f ca="1">INDEX('Cap based on indoor unit SZ'!$J$6:$J$21,MATCH(AE41,'Cap based on indoor unit SZ'!$I$6:$I$21))</f>
        <v>10.463111111111111</v>
      </c>
      <c r="AS41" s="170">
        <f ca="1">INDEX('Cap based on indoor unit SZ'!$J$6:$J$21,MATCH(AF41,'Cap based on indoor unit SZ'!$I$6:$I$21))</f>
        <v>10.463111111111111</v>
      </c>
      <c r="AT41" s="170">
        <f ca="1">INDEX('Cap based on indoor unit SZ'!$J$6:$J$21,MATCH(AG41,'Cap based on indoor unit SZ'!$I$6:$I$21))</f>
        <v>10.463111111111111</v>
      </c>
      <c r="AU41" s="170">
        <f ca="1">INDEX('Cap based on indoor unit SZ'!$J$6:$J$21,MATCH(AH41,'Cap based on indoor unit SZ'!$I$6:$I$21))</f>
        <v>13.078888888888891</v>
      </c>
      <c r="AV41" s="179"/>
      <c r="AW41" s="169">
        <f t="shared" si="24"/>
        <v>36.5</v>
      </c>
      <c r="AX41" s="170">
        <v>8.5</v>
      </c>
      <c r="AY41" s="170">
        <v>8.5</v>
      </c>
      <c r="AZ41" s="170">
        <v>8.5</v>
      </c>
      <c r="BA41" s="170">
        <v>11</v>
      </c>
      <c r="BB41" s="179"/>
      <c r="BC41" s="172">
        <f t="shared" ca="1" si="25"/>
        <v>36.973333333333329</v>
      </c>
      <c r="BD41" s="173">
        <f t="shared" ca="1" si="52"/>
        <v>8.5323076923076915</v>
      </c>
      <c r="BE41" s="173">
        <f t="shared" ca="1" si="52"/>
        <v>8.5323076923076915</v>
      </c>
      <c r="BF41" s="173">
        <f t="shared" ca="1" si="52"/>
        <v>8.5323076923076915</v>
      </c>
      <c r="BG41" s="173">
        <f t="shared" ca="1" si="52"/>
        <v>11.376410256410255</v>
      </c>
      <c r="BH41" s="180"/>
      <c r="BI41" s="166">
        <f t="shared" ca="1" si="28"/>
        <v>36.672000000000011</v>
      </c>
      <c r="BJ41" s="167">
        <f t="shared" ca="1" si="53"/>
        <v>8.4627692307692328</v>
      </c>
      <c r="BK41" s="167">
        <f t="shared" ca="1" si="54"/>
        <v>8.4627692307692328</v>
      </c>
      <c r="BL41" s="167">
        <f t="shared" ca="1" si="55"/>
        <v>8.4627692307692328</v>
      </c>
      <c r="BM41" s="167">
        <f t="shared" ca="1" si="56"/>
        <v>11.283692307692309</v>
      </c>
      <c r="BN41" s="178"/>
      <c r="BO41" s="169">
        <f t="shared" ca="1" si="31"/>
        <v>50.813087179487169</v>
      </c>
      <c r="BP41" s="170">
        <f ca="1">INDEX('Cap based on indoor unit SZ'!$V$43:$V$58,MATCH(AE41,'Cap based on indoor unit SZ'!$U$43:$U$58))</f>
        <v>11.956020512820512</v>
      </c>
      <c r="BQ41" s="170">
        <f ca="1">INDEX('Cap based on indoor unit SZ'!$V$43:$V$58,MATCH(AF41,'Cap based on indoor unit SZ'!$U$43:$U$58))</f>
        <v>11.956020512820512</v>
      </c>
      <c r="BR41" s="170">
        <f ca="1">INDEX('Cap based on indoor unit SZ'!$V$43:$V$58,MATCH(AG41,'Cap based on indoor unit SZ'!$U$43:$U$58))</f>
        <v>11.956020512820512</v>
      </c>
      <c r="BS41" s="170">
        <f ca="1">INDEX('Cap based on indoor unit SZ'!$V$43:$V$58,MATCH(AH41,'Cap based on indoor unit SZ'!$U$43:$U$58))</f>
        <v>14.945025641025641</v>
      </c>
      <c r="BT41" s="179"/>
      <c r="BU41" s="175">
        <v>9000</v>
      </c>
      <c r="BV41" s="175">
        <v>9000</v>
      </c>
      <c r="BW41" s="175">
        <v>9000</v>
      </c>
      <c r="BX41" s="175">
        <v>12000</v>
      </c>
      <c r="BY41" s="179"/>
      <c r="BZ41" s="172">
        <f t="shared" ca="1" si="32"/>
        <v>36.672000000000011</v>
      </c>
      <c r="CA41" s="173">
        <f t="shared" ca="1" si="57"/>
        <v>8.4627692307692328</v>
      </c>
      <c r="CB41" s="173">
        <f t="shared" ca="1" si="58"/>
        <v>8.4627692307692328</v>
      </c>
      <c r="CC41" s="173">
        <f t="shared" ca="1" si="59"/>
        <v>8.4627692307692328</v>
      </c>
      <c r="CD41" s="173">
        <f t="shared" ca="1" si="60"/>
        <v>11.283692307692309</v>
      </c>
      <c r="CE41" s="180"/>
      <c r="CF41" s="166">
        <f t="shared" ca="1" si="35"/>
        <v>27.688423840151955</v>
      </c>
      <c r="CG41" s="167">
        <f t="shared" ca="1" si="36"/>
        <v>6.3896362708042975</v>
      </c>
      <c r="CH41" s="167">
        <f t="shared" ca="1" si="36"/>
        <v>6.3896362708042975</v>
      </c>
      <c r="CI41" s="167">
        <f t="shared" ca="1" si="36"/>
        <v>6.3896362708042975</v>
      </c>
      <c r="CJ41" s="167">
        <f t="shared" ca="1" si="36"/>
        <v>8.5195150277390628</v>
      </c>
      <c r="CK41" s="178"/>
    </row>
    <row r="42" spans="2:89" ht="14.4" thickBot="1">
      <c r="B42" s="204">
        <v>36</v>
      </c>
      <c r="C42" s="205">
        <v>89.6</v>
      </c>
      <c r="D42" s="205">
        <v>73.400000000000006</v>
      </c>
      <c r="E42" s="206" t="s">
        <v>15</v>
      </c>
      <c r="F42" s="207">
        <v>42.82</v>
      </c>
      <c r="G42" s="208">
        <v>43.64</v>
      </c>
      <c r="H42" s="208">
        <v>43.31</v>
      </c>
      <c r="I42" s="208">
        <v>44.15</v>
      </c>
      <c r="J42" s="208">
        <v>44.54</v>
      </c>
      <c r="K42" s="208">
        <v>45.02</v>
      </c>
      <c r="L42" s="209">
        <v>45.94</v>
      </c>
      <c r="M42" s="209">
        <v>43.73</v>
      </c>
      <c r="N42" s="209">
        <v>41.49</v>
      </c>
      <c r="O42" s="209">
        <v>34.44</v>
      </c>
      <c r="P42" s="209">
        <v>31.93</v>
      </c>
      <c r="Q42" s="210">
        <v>27.19</v>
      </c>
      <c r="R42" s="211">
        <f t="shared" ca="1" si="37"/>
        <v>41.489999999999995</v>
      </c>
      <c r="S42" s="152"/>
      <c r="T42" s="152"/>
      <c r="U42" s="146"/>
      <c r="V42" s="152"/>
      <c r="W42" s="152"/>
      <c r="X42" s="152"/>
      <c r="AC42" s="164" t="s">
        <v>160</v>
      </c>
      <c r="AD42" s="164">
        <v>30</v>
      </c>
      <c r="AE42" s="165">
        <v>9</v>
      </c>
      <c r="AF42" s="165">
        <v>9</v>
      </c>
      <c r="AG42" s="165">
        <v>9</v>
      </c>
      <c r="AH42" s="165">
        <v>18</v>
      </c>
      <c r="AI42" s="164"/>
      <c r="AJ42" s="510"/>
      <c r="AK42" s="166">
        <f t="shared" ca="1" si="20"/>
        <v>36.973333333333329</v>
      </c>
      <c r="AL42" s="167">
        <f t="shared" ca="1" si="48"/>
        <v>7.3946666666666658</v>
      </c>
      <c r="AM42" s="167">
        <f t="shared" ca="1" si="49"/>
        <v>7.3946666666666658</v>
      </c>
      <c r="AN42" s="167">
        <f t="shared" ca="1" si="50"/>
        <v>7.3946666666666658</v>
      </c>
      <c r="AO42" s="167">
        <f t="shared" ca="1" si="51"/>
        <v>14.789333333333332</v>
      </c>
      <c r="AP42" s="178"/>
      <c r="AQ42" s="169">
        <f t="shared" ca="1" si="23"/>
        <v>51.210444444444448</v>
      </c>
      <c r="AR42" s="170">
        <f ca="1">INDEX('Cap based on indoor unit SZ'!$J$6:$J$21,MATCH(AE42,'Cap based on indoor unit SZ'!$I$6:$I$21))</f>
        <v>10.463111111111111</v>
      </c>
      <c r="AS42" s="170">
        <f ca="1">INDEX('Cap based on indoor unit SZ'!$J$6:$J$21,MATCH(AF42,'Cap based on indoor unit SZ'!$I$6:$I$21))</f>
        <v>10.463111111111111</v>
      </c>
      <c r="AT42" s="170">
        <f ca="1">INDEX('Cap based on indoor unit SZ'!$J$6:$J$21,MATCH(AG42,'Cap based on indoor unit SZ'!$I$6:$I$21))</f>
        <v>10.463111111111111</v>
      </c>
      <c r="AU42" s="170">
        <f ca="1">INDEX('Cap based on indoor unit SZ'!$J$6:$J$21,MATCH(AH42,'Cap based on indoor unit SZ'!$I$6:$I$21))</f>
        <v>19.821111111111112</v>
      </c>
      <c r="AV42" s="179"/>
      <c r="AW42" s="169">
        <f t="shared" si="24"/>
        <v>37</v>
      </c>
      <c r="AX42" s="170">
        <v>8</v>
      </c>
      <c r="AY42" s="170">
        <v>8</v>
      </c>
      <c r="AZ42" s="170">
        <v>8</v>
      </c>
      <c r="BA42" s="170">
        <v>13</v>
      </c>
      <c r="BB42" s="179"/>
      <c r="BC42" s="172">
        <f t="shared" ca="1" si="25"/>
        <v>36.973333333333329</v>
      </c>
      <c r="BD42" s="173">
        <f t="shared" ca="1" si="52"/>
        <v>7.3946666666666658</v>
      </c>
      <c r="BE42" s="173">
        <f t="shared" ca="1" si="52"/>
        <v>7.3946666666666658</v>
      </c>
      <c r="BF42" s="173">
        <f t="shared" ca="1" si="52"/>
        <v>7.3946666666666658</v>
      </c>
      <c r="BG42" s="173">
        <f t="shared" ca="1" si="52"/>
        <v>14.789333333333332</v>
      </c>
      <c r="BH42" s="180"/>
      <c r="BI42" s="166">
        <f t="shared" ca="1" si="28"/>
        <v>36.671999999999997</v>
      </c>
      <c r="BJ42" s="167">
        <f t="shared" ca="1" si="53"/>
        <v>7.3344000000000005</v>
      </c>
      <c r="BK42" s="167">
        <f t="shared" ca="1" si="54"/>
        <v>7.3344000000000005</v>
      </c>
      <c r="BL42" s="167">
        <f t="shared" ca="1" si="55"/>
        <v>7.3344000000000005</v>
      </c>
      <c r="BM42" s="167">
        <f t="shared" ca="1" si="56"/>
        <v>14.668800000000001</v>
      </c>
      <c r="BN42" s="178"/>
      <c r="BO42" s="169">
        <f t="shared" ca="1" si="31"/>
        <v>60.466882051282042</v>
      </c>
      <c r="BP42" s="170">
        <f ca="1">INDEX('Cap based on indoor unit SZ'!$V$43:$V$58,MATCH(AE42,'Cap based on indoor unit SZ'!$U$43:$U$58))</f>
        <v>11.956020512820512</v>
      </c>
      <c r="BQ42" s="170">
        <f ca="1">INDEX('Cap based on indoor unit SZ'!$V$43:$V$58,MATCH(AF42,'Cap based on indoor unit SZ'!$U$43:$U$58))</f>
        <v>11.956020512820512</v>
      </c>
      <c r="BR42" s="170">
        <f ca="1">INDEX('Cap based on indoor unit SZ'!$V$43:$V$58,MATCH(AG42,'Cap based on indoor unit SZ'!$U$43:$U$58))</f>
        <v>11.956020512820512</v>
      </c>
      <c r="BS42" s="170">
        <f ca="1">INDEX('Cap based on indoor unit SZ'!$V$43:$V$58,MATCH(AH42,'Cap based on indoor unit SZ'!$U$43:$U$58))</f>
        <v>24.598820512820513</v>
      </c>
      <c r="BT42" s="179"/>
      <c r="BU42" s="175">
        <v>8500</v>
      </c>
      <c r="BV42" s="175">
        <v>8500</v>
      </c>
      <c r="BW42" s="175">
        <v>8500</v>
      </c>
      <c r="BX42" s="175">
        <v>14000</v>
      </c>
      <c r="BY42" s="179"/>
      <c r="BZ42" s="172">
        <f t="shared" ca="1" si="32"/>
        <v>36.671999999999997</v>
      </c>
      <c r="CA42" s="173">
        <f t="shared" ca="1" si="57"/>
        <v>7.3344000000000005</v>
      </c>
      <c r="CB42" s="173">
        <f t="shared" ca="1" si="58"/>
        <v>7.3344000000000005</v>
      </c>
      <c r="CC42" s="173">
        <f t="shared" ca="1" si="59"/>
        <v>7.3344000000000005</v>
      </c>
      <c r="CD42" s="173">
        <f t="shared" ca="1" si="60"/>
        <v>14.668800000000001</v>
      </c>
      <c r="CE42" s="180"/>
      <c r="CF42" s="166">
        <f t="shared" ca="1" si="35"/>
        <v>27.688423840151955</v>
      </c>
      <c r="CG42" s="167">
        <f t="shared" ca="1" si="36"/>
        <v>5.5376847680303909</v>
      </c>
      <c r="CH42" s="167">
        <f t="shared" ca="1" si="36"/>
        <v>5.5376847680303909</v>
      </c>
      <c r="CI42" s="167">
        <f t="shared" ca="1" si="36"/>
        <v>5.5376847680303909</v>
      </c>
      <c r="CJ42" s="167">
        <f t="shared" ca="1" si="36"/>
        <v>11.075369536060782</v>
      </c>
      <c r="CK42" s="178"/>
    </row>
    <row r="43" spans="2:89">
      <c r="B43" s="188">
        <v>48</v>
      </c>
      <c r="C43" s="189">
        <v>69.8</v>
      </c>
      <c r="D43" s="189">
        <v>59</v>
      </c>
      <c r="E43" s="190" t="s">
        <v>15</v>
      </c>
      <c r="F43" s="191">
        <v>39.49</v>
      </c>
      <c r="G43" s="192">
        <v>40.25</v>
      </c>
      <c r="H43" s="192">
        <v>40.409999999999997</v>
      </c>
      <c r="I43" s="192">
        <v>40.869999999999997</v>
      </c>
      <c r="J43" s="192">
        <v>40.14</v>
      </c>
      <c r="K43" s="192">
        <v>40.97</v>
      </c>
      <c r="L43" s="193">
        <v>40.25</v>
      </c>
      <c r="M43" s="193">
        <v>38.409999999999997</v>
      </c>
      <c r="N43" s="193">
        <v>35.24</v>
      </c>
      <c r="O43" s="193">
        <v>31.42</v>
      </c>
      <c r="P43" s="193">
        <v>27.98</v>
      </c>
      <c r="Q43" s="194">
        <v>25.48</v>
      </c>
      <c r="R43" s="203">
        <f t="shared" ca="1" si="37"/>
        <v>35.240000000000009</v>
      </c>
      <c r="S43" s="152"/>
      <c r="T43" s="152"/>
      <c r="U43" s="146" t="s">
        <v>96</v>
      </c>
      <c r="V43" s="147">
        <f ca="1">FORECAST(INDOOR_DB,OFFSET(R43:R46,MATCH(INDOOR_DB,C43:C46,1)-1,0,2),OFFSET(C43:C46,MATCH(INDOOR_DB,C43:C46,1)-1,0,2))</f>
        <v>45.37555555555555</v>
      </c>
      <c r="W43" s="145">
        <f>B43</f>
        <v>48</v>
      </c>
      <c r="X43" s="147">
        <f ca="1">IF(OR(INDOOR_DB&lt;C43,INDOOR_DB&gt;C46),V45,V43)</f>
        <v>45.37555555555555</v>
      </c>
      <c r="AC43" s="164" t="s">
        <v>158</v>
      </c>
      <c r="AD43" s="164">
        <v>30</v>
      </c>
      <c r="AE43" s="165">
        <v>9</v>
      </c>
      <c r="AF43" s="165">
        <v>9</v>
      </c>
      <c r="AG43" s="165">
        <v>12</v>
      </c>
      <c r="AH43" s="165">
        <v>12</v>
      </c>
      <c r="AI43" s="164"/>
      <c r="AJ43" s="510"/>
      <c r="AK43" s="166">
        <f t="shared" ca="1" si="20"/>
        <v>36.973333333333329</v>
      </c>
      <c r="AL43" s="167">
        <f t="shared" ca="1" si="48"/>
        <v>7.9228571428571426</v>
      </c>
      <c r="AM43" s="167">
        <f t="shared" ca="1" si="49"/>
        <v>7.9228571428571426</v>
      </c>
      <c r="AN43" s="167">
        <f t="shared" ca="1" si="50"/>
        <v>10.563809523809523</v>
      </c>
      <c r="AO43" s="167">
        <f t="shared" ca="1" si="51"/>
        <v>10.563809523809523</v>
      </c>
      <c r="AP43" s="178"/>
      <c r="AQ43" s="169">
        <f t="shared" ca="1" si="23"/>
        <v>47.084000000000003</v>
      </c>
      <c r="AR43" s="170">
        <f ca="1">INDEX('Cap based on indoor unit SZ'!$J$6:$J$21,MATCH(AE43,'Cap based on indoor unit SZ'!$I$6:$I$21))</f>
        <v>10.463111111111111</v>
      </c>
      <c r="AS43" s="170">
        <f ca="1">INDEX('Cap based on indoor unit SZ'!$J$6:$J$21,MATCH(AF43,'Cap based on indoor unit SZ'!$I$6:$I$21))</f>
        <v>10.463111111111111</v>
      </c>
      <c r="AT43" s="170">
        <f ca="1">INDEX('Cap based on indoor unit SZ'!$J$6:$J$21,MATCH(AG43,'Cap based on indoor unit SZ'!$I$6:$I$21))</f>
        <v>13.078888888888891</v>
      </c>
      <c r="AU43" s="170">
        <f ca="1">INDEX('Cap based on indoor unit SZ'!$J$6:$J$21,MATCH(AH43,'Cap based on indoor unit SZ'!$I$6:$I$21))</f>
        <v>13.078888888888891</v>
      </c>
      <c r="AV43" s="179"/>
      <c r="AW43" s="169">
        <f t="shared" si="24"/>
        <v>37</v>
      </c>
      <c r="AX43" s="170">
        <v>8</v>
      </c>
      <c r="AY43" s="170">
        <v>8</v>
      </c>
      <c r="AZ43" s="170">
        <v>10.5</v>
      </c>
      <c r="BA43" s="170">
        <v>10.5</v>
      </c>
      <c r="BB43" s="179"/>
      <c r="BC43" s="172">
        <f t="shared" ca="1" si="25"/>
        <v>36.973333333333329</v>
      </c>
      <c r="BD43" s="173">
        <f t="shared" ca="1" si="52"/>
        <v>7.9228571428571426</v>
      </c>
      <c r="BE43" s="173">
        <f t="shared" ca="1" si="52"/>
        <v>7.9228571428571426</v>
      </c>
      <c r="BF43" s="173">
        <f t="shared" ca="1" si="52"/>
        <v>10.563809523809523</v>
      </c>
      <c r="BG43" s="173">
        <f t="shared" ca="1" si="52"/>
        <v>10.563809523809523</v>
      </c>
      <c r="BH43" s="180"/>
      <c r="BI43" s="166">
        <f t="shared" ca="1" si="28"/>
        <v>36.672000000000011</v>
      </c>
      <c r="BJ43" s="167">
        <f t="shared" ca="1" si="53"/>
        <v>7.8582857142857163</v>
      </c>
      <c r="BK43" s="167">
        <f t="shared" ca="1" si="54"/>
        <v>7.8582857142857163</v>
      </c>
      <c r="BL43" s="167">
        <f t="shared" ca="1" si="55"/>
        <v>10.477714285714288</v>
      </c>
      <c r="BM43" s="167">
        <f t="shared" ca="1" si="56"/>
        <v>10.477714285714288</v>
      </c>
      <c r="BN43" s="178"/>
      <c r="BO43" s="169">
        <f t="shared" ca="1" si="31"/>
        <v>53.802092307692305</v>
      </c>
      <c r="BP43" s="170">
        <f ca="1">INDEX('Cap based on indoor unit SZ'!$V$43:$V$58,MATCH(AE43,'Cap based on indoor unit SZ'!$U$43:$U$58))</f>
        <v>11.956020512820512</v>
      </c>
      <c r="BQ43" s="170">
        <f ca="1">INDEX('Cap based on indoor unit SZ'!$V$43:$V$58,MATCH(AF43,'Cap based on indoor unit SZ'!$U$43:$U$58))</f>
        <v>11.956020512820512</v>
      </c>
      <c r="BR43" s="170">
        <f ca="1">INDEX('Cap based on indoor unit SZ'!$V$43:$V$58,MATCH(AG43,'Cap based on indoor unit SZ'!$U$43:$U$58))</f>
        <v>14.945025641025641</v>
      </c>
      <c r="BS43" s="170">
        <f ca="1">INDEX('Cap based on indoor unit SZ'!$V$43:$V$58,MATCH(AH43,'Cap based on indoor unit SZ'!$U$43:$U$58))</f>
        <v>14.945025641025641</v>
      </c>
      <c r="BT43" s="179"/>
      <c r="BU43" s="175">
        <v>8500</v>
      </c>
      <c r="BV43" s="175">
        <v>8500</v>
      </c>
      <c r="BW43" s="175">
        <v>11000</v>
      </c>
      <c r="BX43" s="175">
        <v>11000</v>
      </c>
      <c r="BY43" s="179"/>
      <c r="BZ43" s="172">
        <f t="shared" ca="1" si="32"/>
        <v>36.672000000000011</v>
      </c>
      <c r="CA43" s="173">
        <f t="shared" ca="1" si="57"/>
        <v>7.8582857142857163</v>
      </c>
      <c r="CB43" s="173">
        <f t="shared" ca="1" si="58"/>
        <v>7.8582857142857163</v>
      </c>
      <c r="CC43" s="173">
        <f t="shared" ca="1" si="59"/>
        <v>10.477714285714288</v>
      </c>
      <c r="CD43" s="173">
        <f t="shared" ca="1" si="60"/>
        <v>10.477714285714288</v>
      </c>
      <c r="CE43" s="180"/>
      <c r="CF43" s="166">
        <f t="shared" ca="1" si="35"/>
        <v>27.688423840151959</v>
      </c>
      <c r="CG43" s="167">
        <f t="shared" ca="1" si="36"/>
        <v>5.9332336800325622</v>
      </c>
      <c r="CH43" s="167">
        <f t="shared" ca="1" si="36"/>
        <v>5.9332336800325622</v>
      </c>
      <c r="CI43" s="167">
        <f t="shared" ca="1" si="36"/>
        <v>7.9109782400434163</v>
      </c>
      <c r="CJ43" s="167">
        <f t="shared" ca="1" si="36"/>
        <v>7.9109782400434163</v>
      </c>
      <c r="CK43" s="178"/>
    </row>
    <row r="44" spans="2:89">
      <c r="B44" s="196">
        <v>48</v>
      </c>
      <c r="C44" s="197">
        <v>75.2</v>
      </c>
      <c r="D44" s="197">
        <v>62.6</v>
      </c>
      <c r="E44" s="198" t="s">
        <v>15</v>
      </c>
      <c r="F44" s="199">
        <v>42.65</v>
      </c>
      <c r="G44" s="200">
        <v>43.47</v>
      </c>
      <c r="H44" s="200">
        <v>43.64</v>
      </c>
      <c r="I44" s="200">
        <v>44.14</v>
      </c>
      <c r="J44" s="200">
        <v>43.35</v>
      </c>
      <c r="K44" s="200">
        <v>44.25</v>
      </c>
      <c r="L44" s="201">
        <v>43.47</v>
      </c>
      <c r="M44" s="201">
        <v>41.48</v>
      </c>
      <c r="N44" s="201">
        <v>38.06</v>
      </c>
      <c r="O44" s="201">
        <v>33.93</v>
      </c>
      <c r="P44" s="201">
        <v>30.22</v>
      </c>
      <c r="Q44" s="202">
        <v>27.52</v>
      </c>
      <c r="R44" s="203">
        <f t="shared" ca="1" si="37"/>
        <v>38.060000000000009</v>
      </c>
      <c r="S44" s="152"/>
      <c r="T44" s="152"/>
      <c r="U44" s="146"/>
      <c r="V44" s="148"/>
      <c r="W44" s="145"/>
      <c r="X44" s="152"/>
      <c r="AC44" s="164" t="s">
        <v>157</v>
      </c>
      <c r="AD44" s="164">
        <v>30</v>
      </c>
      <c r="AE44" s="165">
        <v>9</v>
      </c>
      <c r="AF44" s="165">
        <v>9</v>
      </c>
      <c r="AG44" s="165">
        <v>12</v>
      </c>
      <c r="AH44" s="165">
        <v>18</v>
      </c>
      <c r="AI44" s="164"/>
      <c r="AJ44" s="510"/>
      <c r="AK44" s="166">
        <f t="shared" ca="1" si="20"/>
        <v>36.973333333333329</v>
      </c>
      <c r="AL44" s="167">
        <f t="shared" ca="1" si="48"/>
        <v>6.9324999999999992</v>
      </c>
      <c r="AM44" s="167">
        <f t="shared" ca="1" si="49"/>
        <v>6.9324999999999992</v>
      </c>
      <c r="AN44" s="167">
        <f t="shared" ca="1" si="50"/>
        <v>9.2433333333333323</v>
      </c>
      <c r="AO44" s="167">
        <f t="shared" ca="1" si="51"/>
        <v>13.864999999999998</v>
      </c>
      <c r="AP44" s="178"/>
      <c r="AQ44" s="169">
        <f t="shared" ca="1" si="23"/>
        <v>53.826222222222228</v>
      </c>
      <c r="AR44" s="170">
        <f ca="1">INDEX('Cap based on indoor unit SZ'!$J$6:$J$21,MATCH(AE44,'Cap based on indoor unit SZ'!$I$6:$I$21))</f>
        <v>10.463111111111111</v>
      </c>
      <c r="AS44" s="170">
        <f ca="1">INDEX('Cap based on indoor unit SZ'!$J$6:$J$21,MATCH(AF44,'Cap based on indoor unit SZ'!$I$6:$I$21))</f>
        <v>10.463111111111111</v>
      </c>
      <c r="AT44" s="170">
        <f ca="1">INDEX('Cap based on indoor unit SZ'!$J$6:$J$21,MATCH(AG44,'Cap based on indoor unit SZ'!$I$6:$I$21))</f>
        <v>13.078888888888891</v>
      </c>
      <c r="AU44" s="170">
        <f ca="1">INDEX('Cap based on indoor unit SZ'!$J$6:$J$21,MATCH(AH44,'Cap based on indoor unit SZ'!$I$6:$I$21))</f>
        <v>19.821111111111112</v>
      </c>
      <c r="AV44" s="179"/>
      <c r="AW44" s="169">
        <f t="shared" si="24"/>
        <v>38</v>
      </c>
      <c r="AX44" s="170">
        <v>7.5</v>
      </c>
      <c r="AY44" s="170">
        <v>7.5</v>
      </c>
      <c r="AZ44" s="170">
        <v>9</v>
      </c>
      <c r="BA44" s="170">
        <v>14</v>
      </c>
      <c r="BB44" s="179"/>
      <c r="BC44" s="172">
        <f t="shared" ca="1" si="25"/>
        <v>36.973333333333329</v>
      </c>
      <c r="BD44" s="173">
        <f t="shared" ca="1" si="52"/>
        <v>6.9324999999999992</v>
      </c>
      <c r="BE44" s="173">
        <f t="shared" ca="1" si="52"/>
        <v>6.9324999999999992</v>
      </c>
      <c r="BF44" s="173">
        <f t="shared" ca="1" si="52"/>
        <v>9.2433333333333323</v>
      </c>
      <c r="BG44" s="173">
        <f t="shared" ca="1" si="52"/>
        <v>13.864999999999998</v>
      </c>
      <c r="BH44" s="180"/>
      <c r="BI44" s="166">
        <f t="shared" ca="1" si="28"/>
        <v>36.672000000000004</v>
      </c>
      <c r="BJ44" s="167">
        <f t="shared" ca="1" si="53"/>
        <v>6.8760000000000012</v>
      </c>
      <c r="BK44" s="167">
        <f t="shared" ca="1" si="54"/>
        <v>6.8760000000000012</v>
      </c>
      <c r="BL44" s="167">
        <f t="shared" ca="1" si="55"/>
        <v>9.168000000000001</v>
      </c>
      <c r="BM44" s="167">
        <f t="shared" ca="1" si="56"/>
        <v>13.752000000000002</v>
      </c>
      <c r="BN44" s="178"/>
      <c r="BO44" s="169">
        <f t="shared" ca="1" si="31"/>
        <v>63.455887179487178</v>
      </c>
      <c r="BP44" s="170">
        <f ca="1">INDEX('Cap based on indoor unit SZ'!$V$43:$V$58,MATCH(AE44,'Cap based on indoor unit SZ'!$U$43:$U$58))</f>
        <v>11.956020512820512</v>
      </c>
      <c r="BQ44" s="170">
        <f ca="1">INDEX('Cap based on indoor unit SZ'!$V$43:$V$58,MATCH(AF44,'Cap based on indoor unit SZ'!$U$43:$U$58))</f>
        <v>11.956020512820512</v>
      </c>
      <c r="BR44" s="170">
        <f ca="1">INDEX('Cap based on indoor unit SZ'!$V$43:$V$58,MATCH(AG44,'Cap based on indoor unit SZ'!$U$43:$U$58))</f>
        <v>14.945025641025641</v>
      </c>
      <c r="BS44" s="170">
        <f ca="1">INDEX('Cap based on indoor unit SZ'!$V$43:$V$58,MATCH(AH44,'Cap based on indoor unit SZ'!$U$43:$U$58))</f>
        <v>24.598820512820513</v>
      </c>
      <c r="BT44" s="179"/>
      <c r="BU44" s="175">
        <v>8000</v>
      </c>
      <c r="BV44" s="175">
        <v>8000</v>
      </c>
      <c r="BW44" s="175">
        <v>9500</v>
      </c>
      <c r="BX44" s="175">
        <v>14500</v>
      </c>
      <c r="BY44" s="179"/>
      <c r="BZ44" s="172">
        <f t="shared" ca="1" si="32"/>
        <v>36.672000000000004</v>
      </c>
      <c r="CA44" s="173">
        <f t="shared" ca="1" si="57"/>
        <v>6.8760000000000012</v>
      </c>
      <c r="CB44" s="173">
        <f t="shared" ca="1" si="58"/>
        <v>6.8760000000000012</v>
      </c>
      <c r="CC44" s="173">
        <f t="shared" ca="1" si="59"/>
        <v>9.168000000000001</v>
      </c>
      <c r="CD44" s="173">
        <f t="shared" ca="1" si="60"/>
        <v>13.752000000000002</v>
      </c>
      <c r="CE44" s="180"/>
      <c r="CF44" s="166">
        <f t="shared" ca="1" si="35"/>
        <v>27.688423840151955</v>
      </c>
      <c r="CG44" s="167">
        <f t="shared" ca="1" si="36"/>
        <v>5.1915794700284916</v>
      </c>
      <c r="CH44" s="167">
        <f t="shared" ca="1" si="36"/>
        <v>5.1915794700284916</v>
      </c>
      <c r="CI44" s="167">
        <f t="shared" ca="1" si="36"/>
        <v>6.9221059600379888</v>
      </c>
      <c r="CJ44" s="167">
        <f t="shared" ca="1" si="36"/>
        <v>10.383158940056983</v>
      </c>
      <c r="CK44" s="178"/>
    </row>
    <row r="45" spans="2:89">
      <c r="B45" s="196">
        <v>48</v>
      </c>
      <c r="C45" s="197">
        <v>80.599999999999994</v>
      </c>
      <c r="D45" s="197">
        <v>66.2</v>
      </c>
      <c r="E45" s="198" t="s">
        <v>15</v>
      </c>
      <c r="F45" s="199">
        <v>51.77</v>
      </c>
      <c r="G45" s="200">
        <v>52.76</v>
      </c>
      <c r="H45" s="200">
        <v>52.93</v>
      </c>
      <c r="I45" s="200">
        <v>52.85</v>
      </c>
      <c r="J45" s="200">
        <v>52.41</v>
      </c>
      <c r="K45" s="200">
        <v>52.56</v>
      </c>
      <c r="L45" s="201">
        <v>52.55</v>
      </c>
      <c r="M45" s="201">
        <v>49.63</v>
      </c>
      <c r="N45" s="201">
        <v>46.29</v>
      </c>
      <c r="O45" s="201">
        <v>38.92</v>
      </c>
      <c r="P45" s="201">
        <v>36.56</v>
      </c>
      <c r="Q45" s="202">
        <v>32.119999999999997</v>
      </c>
      <c r="R45" s="203">
        <f t="shared" ca="1" si="37"/>
        <v>46.290000000000006</v>
      </c>
      <c r="S45" s="152"/>
      <c r="T45" s="152"/>
      <c r="U45" s="146" t="s">
        <v>97</v>
      </c>
      <c r="V45" s="147">
        <f ca="1">TREND(R43:R46,C43:C46,INDOOR_DB)</f>
        <v>42.911843434343432</v>
      </c>
      <c r="W45" s="145"/>
      <c r="X45" s="152"/>
      <c r="AC45" s="164" t="s">
        <v>153</v>
      </c>
      <c r="AD45" s="164">
        <v>30</v>
      </c>
      <c r="AE45" s="165">
        <v>9</v>
      </c>
      <c r="AF45" s="165">
        <v>12</v>
      </c>
      <c r="AG45" s="165">
        <v>12</v>
      </c>
      <c r="AH45" s="165">
        <v>12</v>
      </c>
      <c r="AI45" s="164"/>
      <c r="AJ45" s="511"/>
      <c r="AK45" s="166">
        <f t="shared" ca="1" si="20"/>
        <v>36.973333333333329</v>
      </c>
      <c r="AL45" s="167">
        <f t="shared" ca="1" si="48"/>
        <v>7.3946666666666667</v>
      </c>
      <c r="AM45" s="167">
        <f t="shared" ca="1" si="49"/>
        <v>9.8595555555555556</v>
      </c>
      <c r="AN45" s="167">
        <f t="shared" ca="1" si="50"/>
        <v>9.8595555555555556</v>
      </c>
      <c r="AO45" s="167">
        <f t="shared" ca="1" si="51"/>
        <v>9.8595555555555556</v>
      </c>
      <c r="AP45" s="178"/>
      <c r="AQ45" s="169">
        <f t="shared" ca="1" si="23"/>
        <v>49.699777777777783</v>
      </c>
      <c r="AR45" s="170">
        <f ca="1">INDEX('Cap based on indoor unit SZ'!$J$6:$J$21,MATCH(AE45,'Cap based on indoor unit SZ'!$I$6:$I$21))</f>
        <v>10.463111111111111</v>
      </c>
      <c r="AS45" s="170">
        <f ca="1">INDEX('Cap based on indoor unit SZ'!$J$6:$J$21,MATCH(AF45,'Cap based on indoor unit SZ'!$I$6:$I$21))</f>
        <v>13.078888888888891</v>
      </c>
      <c r="AT45" s="170">
        <f ca="1">INDEX('Cap based on indoor unit SZ'!$J$6:$J$21,MATCH(AG45,'Cap based on indoor unit SZ'!$I$6:$I$21))</f>
        <v>13.078888888888891</v>
      </c>
      <c r="AU45" s="170">
        <f ca="1">INDEX('Cap based on indoor unit SZ'!$J$6:$J$21,MATCH(AH45,'Cap based on indoor unit SZ'!$I$6:$I$21))</f>
        <v>13.078888888888891</v>
      </c>
      <c r="AV45" s="179"/>
      <c r="AW45" s="169">
        <f t="shared" si="24"/>
        <v>37</v>
      </c>
      <c r="AX45" s="170">
        <v>7</v>
      </c>
      <c r="AY45" s="170">
        <v>10</v>
      </c>
      <c r="AZ45" s="170">
        <v>10</v>
      </c>
      <c r="BA45" s="170">
        <v>10</v>
      </c>
      <c r="BB45" s="179"/>
      <c r="BC45" s="172">
        <f t="shared" ca="1" si="25"/>
        <v>36.973333333333329</v>
      </c>
      <c r="BD45" s="173">
        <f t="shared" ca="1" si="52"/>
        <v>7.3946666666666667</v>
      </c>
      <c r="BE45" s="173">
        <f t="shared" ca="1" si="52"/>
        <v>9.8595555555555556</v>
      </c>
      <c r="BF45" s="173">
        <f t="shared" ca="1" si="52"/>
        <v>9.8595555555555556</v>
      </c>
      <c r="BG45" s="173">
        <f t="shared" ca="1" si="52"/>
        <v>9.8595555555555556</v>
      </c>
      <c r="BH45" s="180"/>
      <c r="BI45" s="166">
        <f t="shared" ca="1" si="28"/>
        <v>36.672000000000011</v>
      </c>
      <c r="BJ45" s="167">
        <f t="shared" ca="1" si="53"/>
        <v>7.3344000000000023</v>
      </c>
      <c r="BK45" s="167">
        <f t="shared" ca="1" si="54"/>
        <v>9.779200000000003</v>
      </c>
      <c r="BL45" s="167">
        <f t="shared" ca="1" si="55"/>
        <v>9.779200000000003</v>
      </c>
      <c r="BM45" s="167">
        <f t="shared" ca="1" si="56"/>
        <v>9.779200000000003</v>
      </c>
      <c r="BN45" s="178"/>
      <c r="BO45" s="169">
        <f t="shared" ca="1" si="31"/>
        <v>56.791097435897427</v>
      </c>
      <c r="BP45" s="170">
        <f ca="1">INDEX('Cap based on indoor unit SZ'!$V$43:$V$58,MATCH(AE45,'Cap based on indoor unit SZ'!$U$43:$U$58))</f>
        <v>11.956020512820512</v>
      </c>
      <c r="BQ45" s="170">
        <f ca="1">INDEX('Cap based on indoor unit SZ'!$V$43:$V$58,MATCH(AF45,'Cap based on indoor unit SZ'!$U$43:$U$58))</f>
        <v>14.945025641025641</v>
      </c>
      <c r="BR45" s="170">
        <f ca="1">INDEX('Cap based on indoor unit SZ'!$V$43:$V$58,MATCH(AG45,'Cap based on indoor unit SZ'!$U$43:$U$58))</f>
        <v>14.945025641025641</v>
      </c>
      <c r="BS45" s="170">
        <f ca="1">INDEX('Cap based on indoor unit SZ'!$V$43:$V$58,MATCH(AH45,'Cap based on indoor unit SZ'!$U$43:$U$58))</f>
        <v>14.945025641025641</v>
      </c>
      <c r="BT45" s="179"/>
      <c r="BU45" s="175">
        <v>8000</v>
      </c>
      <c r="BV45" s="175">
        <v>10500</v>
      </c>
      <c r="BW45" s="175">
        <v>10500</v>
      </c>
      <c r="BX45" s="175">
        <v>10500</v>
      </c>
      <c r="BY45" s="179"/>
      <c r="BZ45" s="172">
        <f t="shared" ca="1" si="32"/>
        <v>36.672000000000011</v>
      </c>
      <c r="CA45" s="173">
        <f t="shared" ca="1" si="57"/>
        <v>7.3344000000000023</v>
      </c>
      <c r="CB45" s="173">
        <f t="shared" ca="1" si="58"/>
        <v>9.779200000000003</v>
      </c>
      <c r="CC45" s="173">
        <f t="shared" ca="1" si="59"/>
        <v>9.779200000000003</v>
      </c>
      <c r="CD45" s="173">
        <f t="shared" ca="1" si="60"/>
        <v>9.779200000000003</v>
      </c>
      <c r="CE45" s="180"/>
      <c r="CF45" s="166">
        <f t="shared" ca="1" si="35"/>
        <v>27.688423840151962</v>
      </c>
      <c r="CG45" s="167">
        <f t="shared" ca="1" si="36"/>
        <v>5.5376847680303918</v>
      </c>
      <c r="CH45" s="167">
        <f t="shared" ca="1" si="36"/>
        <v>7.3835796907071893</v>
      </c>
      <c r="CI45" s="167">
        <f t="shared" ca="1" si="36"/>
        <v>7.3835796907071893</v>
      </c>
      <c r="CJ45" s="167">
        <f t="shared" ca="1" si="36"/>
        <v>7.3835796907071893</v>
      </c>
      <c r="CK45" s="178"/>
    </row>
    <row r="46" spans="2:89" ht="14.4" thickBot="1">
      <c r="B46" s="204">
        <v>48</v>
      </c>
      <c r="C46" s="205">
        <v>89.6</v>
      </c>
      <c r="D46" s="205">
        <v>73.400000000000006</v>
      </c>
      <c r="E46" s="206" t="s">
        <v>15</v>
      </c>
      <c r="F46" s="207">
        <v>54.36</v>
      </c>
      <c r="G46" s="208">
        <v>55.4</v>
      </c>
      <c r="H46" s="208">
        <v>55.58</v>
      </c>
      <c r="I46" s="208">
        <v>55.49</v>
      </c>
      <c r="J46" s="208">
        <v>55.03</v>
      </c>
      <c r="K46" s="208">
        <v>55.19</v>
      </c>
      <c r="L46" s="209">
        <v>55.18</v>
      </c>
      <c r="M46" s="209">
        <v>52.11</v>
      </c>
      <c r="N46" s="209">
        <v>48.6</v>
      </c>
      <c r="O46" s="209">
        <v>40.869999999999997</v>
      </c>
      <c r="P46" s="209">
        <v>38.39</v>
      </c>
      <c r="Q46" s="210">
        <v>33.76</v>
      </c>
      <c r="R46" s="211">
        <f t="shared" ca="1" si="37"/>
        <v>48.599999999999994</v>
      </c>
      <c r="S46" s="152"/>
      <c r="T46" s="152"/>
      <c r="U46" s="146"/>
      <c r="V46" s="152"/>
      <c r="W46" s="152"/>
      <c r="X46" s="152"/>
      <c r="AC46" s="164" t="s">
        <v>148</v>
      </c>
      <c r="AD46" s="164">
        <v>30</v>
      </c>
      <c r="AE46" s="165">
        <v>12</v>
      </c>
      <c r="AF46" s="165">
        <v>12</v>
      </c>
      <c r="AG46" s="165">
        <v>12</v>
      </c>
      <c r="AH46" s="165">
        <v>12</v>
      </c>
      <c r="AI46" s="164"/>
      <c r="AJ46" s="511"/>
      <c r="AK46" s="166">
        <f t="shared" ca="1" si="20"/>
        <v>36.973333333333329</v>
      </c>
      <c r="AL46" s="167">
        <f t="shared" ca="1" si="48"/>
        <v>9.2433333333333323</v>
      </c>
      <c r="AM46" s="167">
        <f t="shared" ca="1" si="49"/>
        <v>9.2433333333333323</v>
      </c>
      <c r="AN46" s="167">
        <f t="shared" ca="1" si="50"/>
        <v>9.2433333333333323</v>
      </c>
      <c r="AO46" s="167">
        <f t="shared" ca="1" si="51"/>
        <v>9.2433333333333323</v>
      </c>
      <c r="AP46" s="178"/>
      <c r="AQ46" s="169">
        <f t="shared" ca="1" si="23"/>
        <v>52.315555555555562</v>
      </c>
      <c r="AR46" s="170">
        <f ca="1">INDEX('Cap based on indoor unit SZ'!$J$6:$J$21,MATCH(AE46,'Cap based on indoor unit SZ'!$I$6:$I$21))</f>
        <v>13.078888888888891</v>
      </c>
      <c r="AS46" s="170">
        <f ca="1">INDEX('Cap based on indoor unit SZ'!$J$6:$J$21,MATCH(AF46,'Cap based on indoor unit SZ'!$I$6:$I$21))</f>
        <v>13.078888888888891</v>
      </c>
      <c r="AT46" s="170">
        <f ca="1">INDEX('Cap based on indoor unit SZ'!$J$6:$J$21,MATCH(AG46,'Cap based on indoor unit SZ'!$I$6:$I$21))</f>
        <v>13.078888888888891</v>
      </c>
      <c r="AU46" s="170">
        <f ca="1">INDEX('Cap based on indoor unit SZ'!$J$6:$J$21,MATCH(AH46,'Cap based on indoor unit SZ'!$I$6:$I$21))</f>
        <v>13.078888888888891</v>
      </c>
      <c r="AV46" s="179"/>
      <c r="AW46" s="169">
        <f t="shared" si="24"/>
        <v>38</v>
      </c>
      <c r="AX46" s="170">
        <v>9.5</v>
      </c>
      <c r="AY46" s="170">
        <v>9.5</v>
      </c>
      <c r="AZ46" s="170">
        <v>9.5</v>
      </c>
      <c r="BA46" s="170">
        <v>9.5</v>
      </c>
      <c r="BB46" s="179"/>
      <c r="BC46" s="172">
        <f t="shared" ca="1" si="25"/>
        <v>36.973333333333329</v>
      </c>
      <c r="BD46" s="173">
        <f t="shared" ca="1" si="52"/>
        <v>9.2433333333333323</v>
      </c>
      <c r="BE46" s="173">
        <f t="shared" ca="1" si="52"/>
        <v>9.2433333333333323</v>
      </c>
      <c r="BF46" s="173">
        <f t="shared" ca="1" si="52"/>
        <v>9.2433333333333323</v>
      </c>
      <c r="BG46" s="173">
        <f t="shared" ca="1" si="52"/>
        <v>9.2433333333333323</v>
      </c>
      <c r="BH46" s="180"/>
      <c r="BI46" s="166">
        <f t="shared" ca="1" si="28"/>
        <v>36.672000000000004</v>
      </c>
      <c r="BJ46" s="167">
        <f t="shared" ca="1" si="53"/>
        <v>9.168000000000001</v>
      </c>
      <c r="BK46" s="167">
        <f t="shared" ca="1" si="54"/>
        <v>9.168000000000001</v>
      </c>
      <c r="BL46" s="167">
        <f t="shared" ca="1" si="55"/>
        <v>9.168000000000001</v>
      </c>
      <c r="BM46" s="167">
        <f t="shared" ca="1" si="56"/>
        <v>9.168000000000001</v>
      </c>
      <c r="BN46" s="178"/>
      <c r="BO46" s="169">
        <f t="shared" ca="1" si="31"/>
        <v>59.780102564102563</v>
      </c>
      <c r="BP46" s="170">
        <f ca="1">INDEX('Cap based on indoor unit SZ'!$V$43:$V$58,MATCH(AE46,'Cap based on indoor unit SZ'!$U$43:$U$58))</f>
        <v>14.945025641025641</v>
      </c>
      <c r="BQ46" s="170">
        <f ca="1">INDEX('Cap based on indoor unit SZ'!$V$43:$V$58,MATCH(AF46,'Cap based on indoor unit SZ'!$U$43:$U$58))</f>
        <v>14.945025641025641</v>
      </c>
      <c r="BR46" s="170">
        <f ca="1">INDEX('Cap based on indoor unit SZ'!$V$43:$V$58,MATCH(AG46,'Cap based on indoor unit SZ'!$U$43:$U$58))</f>
        <v>14.945025641025641</v>
      </c>
      <c r="BS46" s="170">
        <f ca="1">INDEX('Cap based on indoor unit SZ'!$V$43:$V$58,MATCH(AH46,'Cap based on indoor unit SZ'!$U$43:$U$58))</f>
        <v>14.945025641025641</v>
      </c>
      <c r="BT46" s="179"/>
      <c r="BU46" s="175">
        <v>10000</v>
      </c>
      <c r="BV46" s="175">
        <v>10000</v>
      </c>
      <c r="BW46" s="175">
        <v>10000</v>
      </c>
      <c r="BX46" s="175">
        <v>10000</v>
      </c>
      <c r="BY46" s="179"/>
      <c r="BZ46" s="172">
        <f t="shared" ca="1" si="32"/>
        <v>36.672000000000004</v>
      </c>
      <c r="CA46" s="173">
        <f t="shared" ca="1" si="57"/>
        <v>9.168000000000001</v>
      </c>
      <c r="CB46" s="173">
        <f t="shared" ca="1" si="58"/>
        <v>9.168000000000001</v>
      </c>
      <c r="CC46" s="173">
        <f t="shared" ca="1" si="59"/>
        <v>9.168000000000001</v>
      </c>
      <c r="CD46" s="173">
        <f t="shared" ca="1" si="60"/>
        <v>9.168000000000001</v>
      </c>
      <c r="CE46" s="180"/>
      <c r="CF46" s="166">
        <f t="shared" ca="1" si="35"/>
        <v>27.688423840151955</v>
      </c>
      <c r="CG46" s="167">
        <f t="shared" ca="1" si="36"/>
        <v>6.9221059600379888</v>
      </c>
      <c r="CH46" s="167">
        <f t="shared" ca="1" si="36"/>
        <v>6.9221059600379888</v>
      </c>
      <c r="CI46" s="167">
        <f t="shared" ca="1" si="36"/>
        <v>6.9221059600379888</v>
      </c>
      <c r="CJ46" s="167">
        <f t="shared" ca="1" si="36"/>
        <v>6.9221059600379888</v>
      </c>
      <c r="CK46" s="178"/>
    </row>
    <row r="47" spans="2:89">
      <c r="B47" s="284">
        <v>18</v>
      </c>
      <c r="C47" s="284">
        <v>69.8</v>
      </c>
      <c r="D47" s="284">
        <v>59</v>
      </c>
      <c r="E47" s="8" t="s">
        <v>16</v>
      </c>
      <c r="F47" s="8">
        <v>12.81</v>
      </c>
      <c r="G47" s="19">
        <v>13.06</v>
      </c>
      <c r="H47" s="19">
        <v>12.9</v>
      </c>
      <c r="I47" s="19">
        <v>13.13</v>
      </c>
      <c r="J47" s="19">
        <v>13.22</v>
      </c>
      <c r="K47" s="19">
        <v>13.38</v>
      </c>
      <c r="L47" s="2">
        <v>15.17</v>
      </c>
      <c r="M47" s="2">
        <v>14.04</v>
      </c>
      <c r="N47" s="2">
        <v>13.1</v>
      </c>
      <c r="O47" s="2">
        <v>10.91</v>
      </c>
      <c r="P47" s="2">
        <v>10.24</v>
      </c>
      <c r="Q47" s="2">
        <v>9.73</v>
      </c>
      <c r="R47" s="6"/>
      <c r="AC47" s="160" t="s">
        <v>65</v>
      </c>
      <c r="AD47" s="160">
        <v>36</v>
      </c>
      <c r="AE47" s="160"/>
      <c r="AF47" s="160"/>
      <c r="AG47" s="160"/>
      <c r="AH47" s="160"/>
      <c r="AI47" s="160"/>
      <c r="AJ47" s="160"/>
      <c r="AK47" s="166"/>
      <c r="AL47" s="272" t="s">
        <v>60</v>
      </c>
      <c r="AM47" s="272" t="s">
        <v>61</v>
      </c>
      <c r="AN47" s="272" t="s">
        <v>62</v>
      </c>
      <c r="AO47" s="272" t="s">
        <v>63</v>
      </c>
      <c r="AP47" s="272" t="s">
        <v>64</v>
      </c>
      <c r="AQ47" s="169"/>
      <c r="AR47" s="160" t="s">
        <v>60</v>
      </c>
      <c r="AS47" s="160" t="s">
        <v>61</v>
      </c>
      <c r="AT47" s="160" t="s">
        <v>62</v>
      </c>
      <c r="AU47" s="160" t="s">
        <v>63</v>
      </c>
      <c r="AV47" s="160" t="s">
        <v>64</v>
      </c>
      <c r="AW47" s="169"/>
      <c r="AX47" s="160" t="s">
        <v>60</v>
      </c>
      <c r="AY47" s="160" t="s">
        <v>61</v>
      </c>
      <c r="AZ47" s="160" t="s">
        <v>62</v>
      </c>
      <c r="BA47" s="160" t="s">
        <v>63</v>
      </c>
      <c r="BB47" s="160" t="s">
        <v>64</v>
      </c>
      <c r="BC47" s="172"/>
      <c r="BD47" s="274" t="s">
        <v>60</v>
      </c>
      <c r="BE47" s="274" t="s">
        <v>61</v>
      </c>
      <c r="BF47" s="274" t="s">
        <v>62</v>
      </c>
      <c r="BG47" s="274" t="s">
        <v>63</v>
      </c>
      <c r="BH47" s="274" t="s">
        <v>64</v>
      </c>
      <c r="BI47" s="166"/>
      <c r="BJ47" s="272" t="s">
        <v>60</v>
      </c>
      <c r="BK47" s="272" t="s">
        <v>61</v>
      </c>
      <c r="BL47" s="272" t="s">
        <v>62</v>
      </c>
      <c r="BM47" s="272" t="s">
        <v>63</v>
      </c>
      <c r="BN47" s="272" t="s">
        <v>64</v>
      </c>
      <c r="BO47" s="169"/>
      <c r="BP47" s="160" t="s">
        <v>60</v>
      </c>
      <c r="BQ47" s="160" t="s">
        <v>61</v>
      </c>
      <c r="BR47" s="160" t="s">
        <v>62</v>
      </c>
      <c r="BS47" s="160" t="s">
        <v>63</v>
      </c>
      <c r="BT47" s="160" t="s">
        <v>64</v>
      </c>
      <c r="BU47" s="160" t="s">
        <v>60</v>
      </c>
      <c r="BV47" s="160" t="s">
        <v>61</v>
      </c>
      <c r="BW47" s="160" t="s">
        <v>62</v>
      </c>
      <c r="BX47" s="160" t="s">
        <v>63</v>
      </c>
      <c r="BY47" s="160" t="s">
        <v>64</v>
      </c>
      <c r="BZ47" s="172"/>
      <c r="CA47" s="274" t="s">
        <v>60</v>
      </c>
      <c r="CB47" s="274" t="s">
        <v>61</v>
      </c>
      <c r="CC47" s="274" t="s">
        <v>62</v>
      </c>
      <c r="CD47" s="274" t="s">
        <v>63</v>
      </c>
      <c r="CE47" s="274" t="s">
        <v>64</v>
      </c>
      <c r="CF47" s="166"/>
      <c r="CG47" s="272" t="s">
        <v>60</v>
      </c>
      <c r="CH47" s="272" t="s">
        <v>61</v>
      </c>
      <c r="CI47" s="272" t="s">
        <v>62</v>
      </c>
      <c r="CJ47" s="272" t="s">
        <v>63</v>
      </c>
      <c r="CK47" s="272" t="s">
        <v>64</v>
      </c>
    </row>
    <row r="48" spans="2:89">
      <c r="B48" s="284">
        <v>18</v>
      </c>
      <c r="C48" s="284">
        <v>75.2</v>
      </c>
      <c r="D48" s="284">
        <v>62.6</v>
      </c>
      <c r="E48" s="8" t="s">
        <v>16</v>
      </c>
      <c r="F48" s="8">
        <v>13.83</v>
      </c>
      <c r="G48" s="19">
        <v>14.1</v>
      </c>
      <c r="H48" s="19">
        <v>14.33</v>
      </c>
      <c r="I48" s="19">
        <v>14.99</v>
      </c>
      <c r="J48" s="19">
        <v>15.29</v>
      </c>
      <c r="K48" s="19">
        <v>15.69</v>
      </c>
      <c r="L48" s="2">
        <v>17.07</v>
      </c>
      <c r="M48" s="2">
        <v>15.76</v>
      </c>
      <c r="N48" s="2">
        <v>14.64</v>
      </c>
      <c r="O48" s="2">
        <v>10.84</v>
      </c>
      <c r="P48" s="2">
        <v>10.92</v>
      </c>
      <c r="Q48" s="2">
        <v>9.93</v>
      </c>
      <c r="R48" s="6"/>
      <c r="AC48" s="164" t="s">
        <v>188</v>
      </c>
      <c r="AD48" s="164">
        <v>36</v>
      </c>
      <c r="AE48" s="165">
        <v>9</v>
      </c>
      <c r="AF48" s="165">
        <v>18</v>
      </c>
      <c r="AG48" s="165"/>
      <c r="AH48" s="165"/>
      <c r="AI48" s="164"/>
      <c r="AJ48" s="500">
        <v>2</v>
      </c>
      <c r="AK48" s="166">
        <f t="shared" ref="AK48:AK91" ca="1" si="61">SUM(AL48:AP48)</f>
        <v>30.284222222222223</v>
      </c>
      <c r="AL48" s="167">
        <f t="shared" ref="AL48:AL55" ca="1" si="62">IF((INDEX($AA$4:$AA$7,MATCH(INDOOR_1,$Z$4:$Z$7))*(INDEX($X$27:$X$46,MATCH($AD48,$W$27:$W$46,1))/(INDEX($AA$4:$AA$7,MATCH(INDOOR_1,$Z$4:$Z$7))+INDEX($AA$4:$AA$7,MATCH(INDOOR_2,$Z$4:$Z$7)))))
&gt;AR48,AR48,
(INDEX($AA$4:$AA$7,MATCH(INDOOR_1,$Z$4:$Z$7))*(INDEX($X$27:$X$46,MATCH($AD48,$W$27:$W$46,1))/(INDEX($AA$4:$AA$7,MATCH(INDOOR_1,$Z$4:$Z$7))+INDEX($AA$4:$AA$7,MATCH(INDOOR_2,$Z$4:$Z$7))))))</f>
        <v>10.463111111111111</v>
      </c>
      <c r="AM48" s="167">
        <f t="shared" ref="AM48:AM55" ca="1" si="63">IF((INDEX($AA$4:$AA$7,MATCH(INDOOR_2,$Z$4:$Z$7))*(INDEX($X$27:$X$46,MATCH($AD48,$W$27:$W$46,1))/(INDEX($AA$4:$AA$7,MATCH(INDOOR_1,$Z$4:$Z$7))+INDEX($AA$4:$AA$7,MATCH(INDOOR_2,$Z$4:$Z$7)))))
&gt;AS48,AS48,
(INDEX($AA$4:$AA$7,MATCH(INDOOR_2,$Z$4:$Z$7))*(INDEX($X$27:$X$46,MATCH($AD48,$W$27:$W$46,1))/(INDEX($AA$4:$AA$7,MATCH(INDOOR_1,$Z$4:$Z$7))+INDEX($AA$4:$AA$7,MATCH(INDOOR_2,$Z$4:$Z$7))))))</f>
        <v>19.821111111111112</v>
      </c>
      <c r="AN48" s="178"/>
      <c r="AO48" s="178"/>
      <c r="AP48" s="178"/>
      <c r="AQ48" s="169">
        <f t="shared" ref="AQ48:AQ91" ca="1" si="64">SUM(AR48:AV48)</f>
        <v>30.284222222222223</v>
      </c>
      <c r="AR48" s="170">
        <f ca="1">INDEX('Cap based on indoor unit SZ'!$J$6:$J$21,MATCH(AE48,'Cap based on indoor unit SZ'!$I$6:$I$21))</f>
        <v>10.463111111111111</v>
      </c>
      <c r="AS48" s="170">
        <f ca="1">INDEX('Cap based on indoor unit SZ'!$J$6:$J$21,MATCH(AF48,'Cap based on indoor unit SZ'!$I$6:$I$21))</f>
        <v>19.821111111111112</v>
      </c>
      <c r="AT48" s="179"/>
      <c r="AU48" s="179"/>
      <c r="AV48" s="179"/>
      <c r="AW48" s="169">
        <f t="shared" ref="AW48:AW91" si="65">SUM(AX48:BB48)</f>
        <v>27.5</v>
      </c>
      <c r="AX48" s="170">
        <v>9.5</v>
      </c>
      <c r="AY48" s="170">
        <v>18</v>
      </c>
      <c r="AZ48" s="179"/>
      <c r="BA48" s="179"/>
      <c r="BB48" s="179"/>
      <c r="BC48" s="172">
        <f t="shared" ref="BC48:BC91" ca="1" si="66">SUM(BD48:BH48)</f>
        <v>38.965555555555561</v>
      </c>
      <c r="BD48" s="173">
        <f t="shared" ref="BD48:BD55" ca="1" si="67">(INDEX($AA$4:$AA$7,MATCH(AE48,$Z$4:$Z$7))*(INDEX($X$27:$X$46,MATCH($AD48,$W$27:$W$46,1))/(INDEX($AA$4:$AA$7,MATCH(AE48,$Z$4:$Z$7))+INDEX($AA$4:$AA$7,MATCH(AF48,$Z$4:$Z$7)))))</f>
        <v>12.98851851851852</v>
      </c>
      <c r="BE48" s="173">
        <f t="shared" ref="BE48:BE55" ca="1" si="68">(INDEX($AA$4:$AA$7,MATCH(AF48,$Z$4:$Z$7))*(INDEX($X$27:$X$46,MATCH($AD48,$W$27:$W$46,1))/(INDEX($AA$4:$AA$7,MATCH(AE48,$Z$4:$Z$7))+INDEX($AA$4:$AA$7,MATCH(AF48,$Z$4:$Z$7)))))</f>
        <v>25.977037037037039</v>
      </c>
      <c r="BF48" s="180"/>
      <c r="BG48" s="180"/>
      <c r="BH48" s="180"/>
      <c r="BI48" s="166">
        <f t="shared" ref="BI48:BI91" ca="1" si="69">SUM(BJ48:BN48)</f>
        <v>36.554841025641025</v>
      </c>
      <c r="BJ48" s="167">
        <f t="shared" ref="BJ48:BJ55" ca="1" si="70">IF((INDEX($AA$4:$AA$7,MATCH(INDOOR_1,$Z$4:$Z$7))*(INDEX($X$118:$X$137,MATCH($AD48,$W$118:$W$137,1))/(INDEX($AA$4:$AA$7,MATCH(INDOOR_1,$Z$4:$Z$7))+INDEX($AA$4:$AA$7,MATCH(INDOOR_2,$Z$4:$Z$7)))))
&gt;BP48,BP48,
(INDEX($AA$4:$AA$7,MATCH(INDOOR_1,$Z$4:$Z$7))*(INDEX($X$118:$X$137,MATCH($AD48,$W$118:$W$137,1))/(INDEX($AA$4:$AA$7,MATCH(INDOOR_1,$Z$4:$Z$7))+INDEX($AA$4:$AA$7,MATCH(INDOOR_2,$Z$4:$Z$7))))))</f>
        <v>11.956020512820512</v>
      </c>
      <c r="BK48" s="167">
        <f t="shared" ref="BK48:BK55" ca="1" si="71">IF((INDEX($AA$4:$AA$7,MATCH(INDOOR_2,$Z$4:$Z$7))*(INDEX($X$118:$X$137,MATCH($AD48,$W$118:$W$137,1))/(INDEX($AA$4:$AA$7,MATCH(INDOOR_1,$Z$4:$Z$7))+INDEX($AA$4:$AA$7,MATCH(INDOOR_2,$Z$4:$Z$7)))))
&gt;BQ48,BQ48,
(INDEX($AA$4:$AA$7,MATCH(INDOOR_2,$Z$4:$Z$7))*(INDEX($X$118:$X$137,MATCH($AD48,$W$118:$W$137,1))/(INDEX($AA$4:$AA$7,MATCH(INDOOR_1,$Z$4:$Z$7))+INDEX($AA$4:$AA$7,MATCH(INDOOR_2,$Z$4:$Z$7))))))</f>
        <v>24.598820512820513</v>
      </c>
      <c r="BL48" s="178"/>
      <c r="BM48" s="178"/>
      <c r="BN48" s="178"/>
      <c r="BO48" s="169">
        <f t="shared" ref="BO48:BO91" ca="1" si="72">SUM(BP48:BT48)</f>
        <v>36.554841025641025</v>
      </c>
      <c r="BP48" s="170">
        <f ca="1">INDEX('Cap based on indoor unit SZ'!$V$43:$V$58,MATCH(AE48,'Cap based on indoor unit SZ'!$U$43:$U$58))</f>
        <v>11.956020512820512</v>
      </c>
      <c r="BQ48" s="170">
        <f ca="1">INDEX('Cap based on indoor unit SZ'!$V$43:$V$58,MATCH(AF48,'Cap based on indoor unit SZ'!$U$43:$U$58))</f>
        <v>24.598820512820513</v>
      </c>
      <c r="BR48" s="179"/>
      <c r="BS48" s="179"/>
      <c r="BT48" s="179"/>
      <c r="BU48" s="175">
        <v>10000</v>
      </c>
      <c r="BV48" s="175">
        <v>18000</v>
      </c>
      <c r="BW48" s="179"/>
      <c r="BX48" s="179"/>
      <c r="BY48" s="179"/>
      <c r="BZ48" s="172">
        <f t="shared" ref="BZ48:BZ91" ca="1" si="73">SUM(CA48:CE48)</f>
        <v>48.700273504273497</v>
      </c>
      <c r="CA48" s="173">
        <f t="shared" ref="CA48:CA55" ca="1" si="74">(INDEX($AA$4:$AA$7,MATCH(INDOOR_1,$Z$4:$Z$7))*(INDEX($X$118:$X$137,MATCH($AD48,$W$118:$W$137,1))/(INDEX($AA$4:$AA$7,MATCH(INDOOR_1,$Z$4:$Z$7))+INDEX($AA$4:$AA$7,MATCH(INDOOR_2,$Z$4:$Z$7)))))</f>
        <v>16.233424501424498</v>
      </c>
      <c r="CB48" s="173">
        <f t="shared" ref="CB48:CB55" ca="1" si="75">(INDEX($AA$4:$AA$7,MATCH(INDOOR_2,$Z$4:$Z$7))*(INDEX($X$118:$X$137,MATCH($AD48,$W$118:$W$137,1))/(INDEX($AA$4:$AA$7,MATCH(INDOOR_1,$Z$4:$Z$7))+INDEX($AA$4:$AA$7,MATCH(INDOOR_2,$Z$4:$Z$7)))))</f>
        <v>32.466849002848996</v>
      </c>
      <c r="CC48" s="180"/>
      <c r="CD48" s="180"/>
      <c r="CE48" s="180"/>
      <c r="CF48" s="166">
        <f t="shared" ref="CF48:CF91" ca="1" si="76">SUM(CG48:CK48)</f>
        <v>22.311216701609787</v>
      </c>
      <c r="CG48" s="167">
        <f t="shared" ref="CG48:CJ91" ca="1" si="77">AL48*(INDEX($X$67:$X$86,MATCH($AD48,$W$67:$W$86,1)))</f>
        <v>7.7084607839696151</v>
      </c>
      <c r="CH48" s="167">
        <f t="shared" ca="1" si="77"/>
        <v>14.602755917640172</v>
      </c>
      <c r="CI48" s="178"/>
      <c r="CJ48" s="178"/>
      <c r="CK48" s="178"/>
    </row>
    <row r="49" spans="2:89">
      <c r="B49" s="284">
        <v>18</v>
      </c>
      <c r="C49" s="284">
        <v>80.599999999999994</v>
      </c>
      <c r="D49" s="284">
        <v>66.2</v>
      </c>
      <c r="E49" s="8" t="s">
        <v>16</v>
      </c>
      <c r="F49" s="8">
        <v>14.8</v>
      </c>
      <c r="G49" s="19">
        <v>15.08</v>
      </c>
      <c r="H49" s="19">
        <v>15.13</v>
      </c>
      <c r="I49" s="19">
        <v>15.18</v>
      </c>
      <c r="J49" s="19">
        <v>15.3</v>
      </c>
      <c r="K49" s="19">
        <v>15.44</v>
      </c>
      <c r="L49" s="2">
        <v>16.14</v>
      </c>
      <c r="M49" s="2">
        <v>15.3</v>
      </c>
      <c r="N49" s="2">
        <v>14.67</v>
      </c>
      <c r="O49" s="2">
        <v>12.11</v>
      </c>
      <c r="P49" s="2">
        <v>11.18</v>
      </c>
      <c r="Q49" s="2">
        <v>10.49</v>
      </c>
      <c r="R49" s="6"/>
      <c r="AC49" s="164" t="s">
        <v>187</v>
      </c>
      <c r="AD49" s="164">
        <v>36</v>
      </c>
      <c r="AE49" s="165">
        <v>9</v>
      </c>
      <c r="AF49" s="165">
        <v>24</v>
      </c>
      <c r="AG49" s="165"/>
      <c r="AH49" s="165"/>
      <c r="AI49" s="164"/>
      <c r="AJ49" s="500"/>
      <c r="AK49" s="166">
        <f t="shared" ca="1" si="61"/>
        <v>34.915333333333329</v>
      </c>
      <c r="AL49" s="167">
        <f t="shared" ca="1" si="62"/>
        <v>10.463111111111111</v>
      </c>
      <c r="AM49" s="167">
        <f t="shared" ca="1" si="63"/>
        <v>24.452222222222218</v>
      </c>
      <c r="AN49" s="178"/>
      <c r="AO49" s="178"/>
      <c r="AP49" s="178"/>
      <c r="AQ49" s="169">
        <f t="shared" ca="1" si="64"/>
        <v>34.915333333333329</v>
      </c>
      <c r="AR49" s="170">
        <f ca="1">INDEX('Cap based on indoor unit SZ'!$J$6:$J$21,MATCH(AE49,'Cap based on indoor unit SZ'!$I$6:$I$21))</f>
        <v>10.463111111111111</v>
      </c>
      <c r="AS49" s="170">
        <f ca="1">INDEX('Cap based on indoor unit SZ'!$J$6:$J$21,MATCH(AF49,'Cap based on indoor unit SZ'!$I$6:$I$21))</f>
        <v>24.452222222222218</v>
      </c>
      <c r="AT49" s="179"/>
      <c r="AU49" s="179"/>
      <c r="AV49" s="179"/>
      <c r="AW49" s="169">
        <f t="shared" si="65"/>
        <v>33.5</v>
      </c>
      <c r="AX49" s="170">
        <v>9.5</v>
      </c>
      <c r="AY49" s="170">
        <v>24</v>
      </c>
      <c r="AZ49" s="179"/>
      <c r="BA49" s="179"/>
      <c r="BB49" s="179"/>
      <c r="BC49" s="172">
        <f t="shared" ca="1" si="66"/>
        <v>38.965555555555561</v>
      </c>
      <c r="BD49" s="173">
        <f t="shared" ca="1" si="67"/>
        <v>10.626969696969699</v>
      </c>
      <c r="BE49" s="173">
        <f t="shared" ca="1" si="68"/>
        <v>28.338585858585862</v>
      </c>
      <c r="BF49" s="180"/>
      <c r="BG49" s="180"/>
      <c r="BH49" s="180"/>
      <c r="BI49" s="166">
        <f t="shared" ca="1" si="69"/>
        <v>42.246020512820515</v>
      </c>
      <c r="BJ49" s="167">
        <f t="shared" ca="1" si="70"/>
        <v>11.956020512820512</v>
      </c>
      <c r="BK49" s="167">
        <f t="shared" ca="1" si="71"/>
        <v>30.290000000000003</v>
      </c>
      <c r="BL49" s="178"/>
      <c r="BM49" s="178"/>
      <c r="BN49" s="178"/>
      <c r="BO49" s="169">
        <f t="shared" ca="1" si="72"/>
        <v>42.246020512820515</v>
      </c>
      <c r="BP49" s="170">
        <f ca="1">INDEX('Cap based on indoor unit SZ'!$V$43:$V$58,MATCH(AE49,'Cap based on indoor unit SZ'!$U$43:$U$58))</f>
        <v>11.956020512820512</v>
      </c>
      <c r="BQ49" s="170">
        <f ca="1">INDEX('Cap based on indoor unit SZ'!$V$43:$V$58,MATCH(AF49,'Cap based on indoor unit SZ'!$U$43:$U$58))</f>
        <v>30.290000000000003</v>
      </c>
      <c r="BR49" s="179"/>
      <c r="BS49" s="179"/>
      <c r="BT49" s="179"/>
      <c r="BU49" s="175">
        <v>10000</v>
      </c>
      <c r="BV49" s="175">
        <v>25000</v>
      </c>
      <c r="BW49" s="179"/>
      <c r="BX49" s="179"/>
      <c r="BY49" s="179"/>
      <c r="BZ49" s="172">
        <f t="shared" ca="1" si="73"/>
        <v>48.700273504273497</v>
      </c>
      <c r="CA49" s="173">
        <f t="shared" ca="1" si="74"/>
        <v>13.281892773892773</v>
      </c>
      <c r="CB49" s="173">
        <f t="shared" ca="1" si="75"/>
        <v>35.418380730380726</v>
      </c>
      <c r="CC49" s="180"/>
      <c r="CD49" s="180"/>
      <c r="CE49" s="180"/>
      <c r="CF49" s="166">
        <f t="shared" ca="1" si="76"/>
        <v>25.723083211208092</v>
      </c>
      <c r="CG49" s="167">
        <f t="shared" ca="1" si="77"/>
        <v>7.7084607839696151</v>
      </c>
      <c r="CH49" s="167">
        <f t="shared" ca="1" si="77"/>
        <v>18.014622427238479</v>
      </c>
      <c r="CI49" s="178"/>
      <c r="CJ49" s="178"/>
      <c r="CK49" s="178"/>
    </row>
    <row r="50" spans="2:89">
      <c r="B50" s="284">
        <v>18</v>
      </c>
      <c r="C50" s="284">
        <v>89.6</v>
      </c>
      <c r="D50" s="284">
        <v>73.400000000000006</v>
      </c>
      <c r="E50" s="8" t="s">
        <v>16</v>
      </c>
      <c r="F50" s="8">
        <v>16.579999999999998</v>
      </c>
      <c r="G50" s="19">
        <v>16.899999999999999</v>
      </c>
      <c r="H50" s="19">
        <v>17.2</v>
      </c>
      <c r="I50" s="19">
        <v>17.5</v>
      </c>
      <c r="J50" s="19">
        <v>17.87</v>
      </c>
      <c r="K50" s="19">
        <v>17.55</v>
      </c>
      <c r="L50" s="2">
        <v>20.61</v>
      </c>
      <c r="M50" s="2">
        <v>20.010000000000002</v>
      </c>
      <c r="N50" s="2">
        <v>19.239999999999998</v>
      </c>
      <c r="O50" s="2">
        <v>14.06</v>
      </c>
      <c r="P50" s="2">
        <v>12.1</v>
      </c>
      <c r="Q50" s="2">
        <v>11.33</v>
      </c>
      <c r="R50" s="6"/>
      <c r="AC50" s="164" t="s">
        <v>186</v>
      </c>
      <c r="AD50" s="164">
        <v>36</v>
      </c>
      <c r="AE50" s="165">
        <v>12</v>
      </c>
      <c r="AF50" s="165">
        <v>12</v>
      </c>
      <c r="AG50" s="165"/>
      <c r="AH50" s="164"/>
      <c r="AI50" s="164"/>
      <c r="AJ50" s="500"/>
      <c r="AK50" s="166">
        <f t="shared" ca="1" si="61"/>
        <v>26.157777777777781</v>
      </c>
      <c r="AL50" s="167">
        <f t="shared" ca="1" si="62"/>
        <v>13.078888888888891</v>
      </c>
      <c r="AM50" s="167">
        <f t="shared" ca="1" si="63"/>
        <v>13.078888888888891</v>
      </c>
      <c r="AN50" s="178"/>
      <c r="AO50" s="178"/>
      <c r="AP50" s="178"/>
      <c r="AQ50" s="169">
        <f t="shared" ca="1" si="64"/>
        <v>26.157777777777781</v>
      </c>
      <c r="AR50" s="170">
        <f ca="1">INDEX('Cap based on indoor unit SZ'!$J$6:$J$21,MATCH(AE50,'Cap based on indoor unit SZ'!$I$6:$I$21))</f>
        <v>13.078888888888891</v>
      </c>
      <c r="AS50" s="170">
        <f ca="1">INDEX('Cap based on indoor unit SZ'!$J$6:$J$21,MATCH(AF50,'Cap based on indoor unit SZ'!$I$6:$I$21))</f>
        <v>13.078888888888891</v>
      </c>
      <c r="AT50" s="179"/>
      <c r="AU50" s="179"/>
      <c r="AV50" s="179"/>
      <c r="AW50" s="169">
        <f t="shared" si="65"/>
        <v>25</v>
      </c>
      <c r="AX50" s="170">
        <v>12.5</v>
      </c>
      <c r="AY50" s="170">
        <v>12.5</v>
      </c>
      <c r="AZ50" s="179"/>
      <c r="BA50" s="179"/>
      <c r="BB50" s="179"/>
      <c r="BC50" s="172">
        <f t="shared" ca="1" si="66"/>
        <v>38.965555555555561</v>
      </c>
      <c r="BD50" s="173">
        <f t="shared" ca="1" si="67"/>
        <v>19.48277777777778</v>
      </c>
      <c r="BE50" s="173">
        <f t="shared" ca="1" si="68"/>
        <v>19.48277777777778</v>
      </c>
      <c r="BF50" s="180"/>
      <c r="BG50" s="180"/>
      <c r="BH50" s="180"/>
      <c r="BI50" s="166">
        <f t="shared" ca="1" si="69"/>
        <v>29.890051282051282</v>
      </c>
      <c r="BJ50" s="167">
        <f t="shared" ca="1" si="70"/>
        <v>14.945025641025641</v>
      </c>
      <c r="BK50" s="167">
        <f t="shared" ca="1" si="71"/>
        <v>14.945025641025641</v>
      </c>
      <c r="BL50" s="178"/>
      <c r="BM50" s="178"/>
      <c r="BN50" s="178"/>
      <c r="BO50" s="169">
        <f t="shared" ca="1" si="72"/>
        <v>29.890051282051282</v>
      </c>
      <c r="BP50" s="170">
        <f ca="1">INDEX('Cap based on indoor unit SZ'!$V$43:$V$58,MATCH(AE50,'Cap based on indoor unit SZ'!$U$43:$U$58))</f>
        <v>14.945025641025641</v>
      </c>
      <c r="BQ50" s="170">
        <f ca="1">INDEX('Cap based on indoor unit SZ'!$V$43:$V$58,MATCH(AF50,'Cap based on indoor unit SZ'!$U$43:$U$58))</f>
        <v>14.945025641025641</v>
      </c>
      <c r="BR50" s="179"/>
      <c r="BS50" s="179"/>
      <c r="BT50" s="179"/>
      <c r="BU50" s="175">
        <v>13000</v>
      </c>
      <c r="BV50" s="175">
        <v>13000</v>
      </c>
      <c r="BW50" s="179"/>
      <c r="BX50" s="179"/>
      <c r="BY50" s="179"/>
      <c r="BZ50" s="172">
        <f t="shared" ca="1" si="73"/>
        <v>48.700273504273497</v>
      </c>
      <c r="CA50" s="173">
        <f t="shared" ca="1" si="74"/>
        <v>24.350136752136748</v>
      </c>
      <c r="CB50" s="173">
        <f t="shared" ca="1" si="75"/>
        <v>24.350136752136748</v>
      </c>
      <c r="CC50" s="180"/>
      <c r="CD50" s="180"/>
      <c r="CE50" s="180"/>
      <c r="CF50" s="166">
        <f t="shared" ca="1" si="76"/>
        <v>19.27115195992404</v>
      </c>
      <c r="CG50" s="167">
        <f t="shared" ca="1" si="77"/>
        <v>9.6355759799620202</v>
      </c>
      <c r="CH50" s="167">
        <f t="shared" ca="1" si="77"/>
        <v>9.6355759799620202</v>
      </c>
      <c r="CI50" s="178"/>
      <c r="CJ50" s="178"/>
      <c r="CK50" s="178"/>
    </row>
    <row r="51" spans="2:89">
      <c r="B51" s="283">
        <v>24</v>
      </c>
      <c r="C51" s="284">
        <v>69.8</v>
      </c>
      <c r="D51" s="284">
        <v>59</v>
      </c>
      <c r="E51" s="8" t="s">
        <v>16</v>
      </c>
      <c r="F51" s="8">
        <v>18.91</v>
      </c>
      <c r="G51" s="19">
        <v>19.27</v>
      </c>
      <c r="H51" s="19">
        <v>19.190000000000001</v>
      </c>
      <c r="I51" s="19">
        <v>19.22</v>
      </c>
      <c r="J51" s="19">
        <v>19.059999999999999</v>
      </c>
      <c r="K51" s="19">
        <v>19.29</v>
      </c>
      <c r="L51" s="2">
        <v>20.83</v>
      </c>
      <c r="M51" s="2">
        <v>19.93</v>
      </c>
      <c r="N51" s="2">
        <v>18.920000000000002</v>
      </c>
      <c r="O51" s="2">
        <v>16.82</v>
      </c>
      <c r="P51" s="2">
        <v>15.86</v>
      </c>
      <c r="Q51" s="2">
        <v>14.16</v>
      </c>
      <c r="R51" s="6"/>
      <c r="AC51" s="164" t="s">
        <v>185</v>
      </c>
      <c r="AD51" s="164">
        <v>36</v>
      </c>
      <c r="AE51" s="165">
        <v>12</v>
      </c>
      <c r="AF51" s="165">
        <v>18</v>
      </c>
      <c r="AG51" s="165"/>
      <c r="AH51" s="164"/>
      <c r="AI51" s="164"/>
      <c r="AJ51" s="500"/>
      <c r="AK51" s="166">
        <f t="shared" ca="1" si="61"/>
        <v>32.900000000000006</v>
      </c>
      <c r="AL51" s="167">
        <f t="shared" ca="1" si="62"/>
        <v>13.078888888888891</v>
      </c>
      <c r="AM51" s="167">
        <f t="shared" ca="1" si="63"/>
        <v>19.821111111111112</v>
      </c>
      <c r="AN51" s="178"/>
      <c r="AO51" s="178"/>
      <c r="AP51" s="178"/>
      <c r="AQ51" s="169">
        <f t="shared" ca="1" si="64"/>
        <v>32.900000000000006</v>
      </c>
      <c r="AR51" s="170">
        <f ca="1">INDEX('Cap based on indoor unit SZ'!$J$6:$J$21,MATCH(AE51,'Cap based on indoor unit SZ'!$I$6:$I$21))</f>
        <v>13.078888888888891</v>
      </c>
      <c r="AS51" s="170">
        <f ca="1">INDEX('Cap based on indoor unit SZ'!$J$6:$J$21,MATCH(AF51,'Cap based on indoor unit SZ'!$I$6:$I$21))</f>
        <v>19.821111111111112</v>
      </c>
      <c r="AT51" s="179"/>
      <c r="AU51" s="179"/>
      <c r="AV51" s="179"/>
      <c r="AW51" s="169">
        <f t="shared" si="65"/>
        <v>30</v>
      </c>
      <c r="AX51" s="170">
        <v>12</v>
      </c>
      <c r="AY51" s="170">
        <v>18</v>
      </c>
      <c r="AZ51" s="179"/>
      <c r="BA51" s="179"/>
      <c r="BB51" s="179"/>
      <c r="BC51" s="172">
        <f t="shared" ca="1" si="66"/>
        <v>38.965555555555568</v>
      </c>
      <c r="BD51" s="173">
        <f t="shared" ca="1" si="67"/>
        <v>15.586222222222226</v>
      </c>
      <c r="BE51" s="173">
        <f t="shared" ca="1" si="68"/>
        <v>23.379333333333339</v>
      </c>
      <c r="BF51" s="180"/>
      <c r="BG51" s="180"/>
      <c r="BH51" s="180"/>
      <c r="BI51" s="166">
        <f t="shared" ca="1" si="69"/>
        <v>39.543846153846154</v>
      </c>
      <c r="BJ51" s="167">
        <f t="shared" ca="1" si="70"/>
        <v>14.945025641025641</v>
      </c>
      <c r="BK51" s="167">
        <f t="shared" ca="1" si="71"/>
        <v>24.598820512820513</v>
      </c>
      <c r="BL51" s="178"/>
      <c r="BM51" s="178"/>
      <c r="BN51" s="178"/>
      <c r="BO51" s="169">
        <f t="shared" ca="1" si="72"/>
        <v>39.543846153846154</v>
      </c>
      <c r="BP51" s="170">
        <f ca="1">INDEX('Cap based on indoor unit SZ'!$V$43:$V$58,MATCH(AE51,'Cap based on indoor unit SZ'!$U$43:$U$58))</f>
        <v>14.945025641025641</v>
      </c>
      <c r="BQ51" s="170">
        <f ca="1">INDEX('Cap based on indoor unit SZ'!$V$43:$V$58,MATCH(AF51,'Cap based on indoor unit SZ'!$U$43:$U$58))</f>
        <v>24.598820512820513</v>
      </c>
      <c r="BR51" s="179"/>
      <c r="BS51" s="179"/>
      <c r="BT51" s="179"/>
      <c r="BU51" s="175">
        <v>13000</v>
      </c>
      <c r="BV51" s="175">
        <v>19000</v>
      </c>
      <c r="BW51" s="179"/>
      <c r="BX51" s="179"/>
      <c r="BY51" s="179"/>
      <c r="BZ51" s="172">
        <f t="shared" ca="1" si="73"/>
        <v>48.700273504273497</v>
      </c>
      <c r="CA51" s="173">
        <f t="shared" ca="1" si="74"/>
        <v>19.480109401709399</v>
      </c>
      <c r="CB51" s="173">
        <f t="shared" ca="1" si="75"/>
        <v>29.220164102564102</v>
      </c>
      <c r="CC51" s="180"/>
      <c r="CD51" s="180"/>
      <c r="CE51" s="180"/>
      <c r="CF51" s="166">
        <f t="shared" ca="1" si="76"/>
        <v>24.238331897602194</v>
      </c>
      <c r="CG51" s="167">
        <f t="shared" ca="1" si="77"/>
        <v>9.6355759799620202</v>
      </c>
      <c r="CH51" s="167">
        <f t="shared" ca="1" si="77"/>
        <v>14.602755917640172</v>
      </c>
      <c r="CI51" s="178"/>
      <c r="CJ51" s="178"/>
      <c r="CK51" s="178"/>
    </row>
    <row r="52" spans="2:89">
      <c r="B52" s="283">
        <v>24</v>
      </c>
      <c r="C52" s="284">
        <v>75.2</v>
      </c>
      <c r="D52" s="284">
        <v>62.6</v>
      </c>
      <c r="E52" s="8" t="s">
        <v>16</v>
      </c>
      <c r="F52" s="8">
        <v>20.420000000000002</v>
      </c>
      <c r="G52" s="19">
        <v>20.81</v>
      </c>
      <c r="H52" s="19">
        <v>20.73</v>
      </c>
      <c r="I52" s="19">
        <v>20.76</v>
      </c>
      <c r="J52" s="19">
        <v>20.59</v>
      </c>
      <c r="K52" s="19">
        <v>20.84</v>
      </c>
      <c r="L52" s="2">
        <v>21.91</v>
      </c>
      <c r="M52" s="2">
        <v>22.33</v>
      </c>
      <c r="N52" s="2">
        <v>21.17</v>
      </c>
      <c r="O52" s="2">
        <v>17.96</v>
      </c>
      <c r="P52" s="2">
        <v>16.600000000000001</v>
      </c>
      <c r="Q52" s="2">
        <v>15.25</v>
      </c>
      <c r="R52" s="6"/>
      <c r="AC52" s="164" t="s">
        <v>184</v>
      </c>
      <c r="AD52" s="164">
        <v>36</v>
      </c>
      <c r="AE52" s="165">
        <v>12</v>
      </c>
      <c r="AF52" s="165">
        <v>24</v>
      </c>
      <c r="AG52" s="165"/>
      <c r="AH52" s="164"/>
      <c r="AI52" s="164"/>
      <c r="AJ52" s="500"/>
      <c r="AK52" s="166">
        <f t="shared" ca="1" si="61"/>
        <v>37.440740740740736</v>
      </c>
      <c r="AL52" s="167">
        <f t="shared" ca="1" si="62"/>
        <v>12.98851851851852</v>
      </c>
      <c r="AM52" s="167">
        <f t="shared" ca="1" si="63"/>
        <v>24.452222222222218</v>
      </c>
      <c r="AN52" s="178"/>
      <c r="AO52" s="178"/>
      <c r="AP52" s="178"/>
      <c r="AQ52" s="169">
        <f t="shared" ca="1" si="64"/>
        <v>37.531111111111109</v>
      </c>
      <c r="AR52" s="170">
        <f ca="1">INDEX('Cap based on indoor unit SZ'!$J$6:$J$21,MATCH(AE52,'Cap based on indoor unit SZ'!$I$6:$I$21))</f>
        <v>13.078888888888891</v>
      </c>
      <c r="AS52" s="170">
        <f ca="1">INDEX('Cap based on indoor unit SZ'!$J$6:$J$21,MATCH(AF52,'Cap based on indoor unit SZ'!$I$6:$I$21))</f>
        <v>24.452222222222218</v>
      </c>
      <c r="AT52" s="179"/>
      <c r="AU52" s="179"/>
      <c r="AV52" s="179"/>
      <c r="AW52" s="169">
        <f t="shared" si="65"/>
        <v>36</v>
      </c>
      <c r="AX52" s="170">
        <v>12</v>
      </c>
      <c r="AY52" s="170">
        <v>24</v>
      </c>
      <c r="AZ52" s="179"/>
      <c r="BA52" s="179"/>
      <c r="BB52" s="179"/>
      <c r="BC52" s="172">
        <f t="shared" ca="1" si="66"/>
        <v>38.965555555555561</v>
      </c>
      <c r="BD52" s="173">
        <f t="shared" ca="1" si="67"/>
        <v>12.98851851851852</v>
      </c>
      <c r="BE52" s="173">
        <f t="shared" ca="1" si="68"/>
        <v>25.977037037037039</v>
      </c>
      <c r="BF52" s="180"/>
      <c r="BG52" s="180"/>
      <c r="BH52" s="180"/>
      <c r="BI52" s="166">
        <f t="shared" ca="1" si="69"/>
        <v>45.235025641025643</v>
      </c>
      <c r="BJ52" s="167">
        <f t="shared" ca="1" si="70"/>
        <v>14.945025641025641</v>
      </c>
      <c r="BK52" s="167">
        <f t="shared" ca="1" si="71"/>
        <v>30.290000000000003</v>
      </c>
      <c r="BL52" s="178"/>
      <c r="BM52" s="178"/>
      <c r="BN52" s="178"/>
      <c r="BO52" s="169">
        <f t="shared" ca="1" si="72"/>
        <v>45.235025641025643</v>
      </c>
      <c r="BP52" s="170">
        <f ca="1">INDEX('Cap based on indoor unit SZ'!$V$43:$V$58,MATCH(AE52,'Cap based on indoor unit SZ'!$U$43:$U$58))</f>
        <v>14.945025641025641</v>
      </c>
      <c r="BQ52" s="170">
        <f ca="1">INDEX('Cap based on indoor unit SZ'!$V$43:$V$58,MATCH(AF52,'Cap based on indoor unit SZ'!$U$43:$U$58))</f>
        <v>30.290000000000003</v>
      </c>
      <c r="BR52" s="179"/>
      <c r="BS52" s="179"/>
      <c r="BT52" s="179"/>
      <c r="BU52" s="175">
        <v>10000</v>
      </c>
      <c r="BV52" s="175">
        <v>25000</v>
      </c>
      <c r="BW52" s="179"/>
      <c r="BX52" s="179"/>
      <c r="BY52" s="179"/>
      <c r="BZ52" s="172">
        <f t="shared" ca="1" si="73"/>
        <v>48.700273504273497</v>
      </c>
      <c r="CA52" s="173">
        <f t="shared" ca="1" si="74"/>
        <v>16.233424501424498</v>
      </c>
      <c r="CB52" s="173">
        <f t="shared" ca="1" si="75"/>
        <v>32.466849002848996</v>
      </c>
      <c r="CC52" s="180"/>
      <c r="CD52" s="180"/>
      <c r="CE52" s="180"/>
      <c r="CF52" s="166">
        <f t="shared" ca="1" si="76"/>
        <v>27.583620077998482</v>
      </c>
      <c r="CG52" s="167">
        <f t="shared" ca="1" si="77"/>
        <v>9.5689976507600054</v>
      </c>
      <c r="CH52" s="167">
        <f t="shared" ca="1" si="77"/>
        <v>18.014622427238479</v>
      </c>
      <c r="CI52" s="178"/>
      <c r="CJ52" s="178"/>
      <c r="CK52" s="178"/>
    </row>
    <row r="53" spans="2:89">
      <c r="B53" s="283">
        <v>24</v>
      </c>
      <c r="C53" s="284">
        <v>80.599999999999994</v>
      </c>
      <c r="D53" s="284">
        <v>66.2</v>
      </c>
      <c r="E53" s="8" t="s">
        <v>16</v>
      </c>
      <c r="F53" s="8">
        <v>23.03</v>
      </c>
      <c r="G53" s="19">
        <v>23.47</v>
      </c>
      <c r="H53" s="19">
        <v>23.4</v>
      </c>
      <c r="I53" s="19">
        <v>23.25</v>
      </c>
      <c r="J53" s="19">
        <v>23.23</v>
      </c>
      <c r="K53" s="19">
        <v>23.39</v>
      </c>
      <c r="L53" s="2">
        <v>23.04</v>
      </c>
      <c r="M53" s="2">
        <v>22.47</v>
      </c>
      <c r="N53" s="2">
        <v>21.5</v>
      </c>
      <c r="O53" s="2">
        <v>18.760000000000002</v>
      </c>
      <c r="P53" s="2">
        <v>20.28</v>
      </c>
      <c r="Q53" s="2">
        <v>18.38</v>
      </c>
      <c r="R53" s="6"/>
      <c r="AC53" s="164" t="s">
        <v>183</v>
      </c>
      <c r="AD53" s="164">
        <v>36</v>
      </c>
      <c r="AE53" s="165">
        <v>18</v>
      </c>
      <c r="AF53" s="165">
        <v>18</v>
      </c>
      <c r="AG53" s="165"/>
      <c r="AH53" s="164"/>
      <c r="AI53" s="164"/>
      <c r="AJ53" s="500"/>
      <c r="AK53" s="166">
        <f t="shared" ca="1" si="61"/>
        <v>38.965555555555561</v>
      </c>
      <c r="AL53" s="167">
        <f t="shared" ca="1" si="62"/>
        <v>19.48277777777778</v>
      </c>
      <c r="AM53" s="167">
        <f t="shared" ca="1" si="63"/>
        <v>19.48277777777778</v>
      </c>
      <c r="AN53" s="178"/>
      <c r="AO53" s="178"/>
      <c r="AP53" s="178"/>
      <c r="AQ53" s="169">
        <f t="shared" ca="1" si="64"/>
        <v>39.642222222222223</v>
      </c>
      <c r="AR53" s="170">
        <f ca="1">INDEX('Cap based on indoor unit SZ'!$J$6:$J$21,MATCH(AE53,'Cap based on indoor unit SZ'!$I$6:$I$21))</f>
        <v>19.821111111111112</v>
      </c>
      <c r="AS53" s="170">
        <f ca="1">INDEX('Cap based on indoor unit SZ'!$J$6:$J$21,MATCH(AF53,'Cap based on indoor unit SZ'!$I$6:$I$21))</f>
        <v>19.821111111111112</v>
      </c>
      <c r="AT53" s="179"/>
      <c r="AU53" s="179"/>
      <c r="AV53" s="179"/>
      <c r="AW53" s="169">
        <f t="shared" si="65"/>
        <v>37</v>
      </c>
      <c r="AX53" s="170">
        <v>18.5</v>
      </c>
      <c r="AY53" s="170">
        <v>18.5</v>
      </c>
      <c r="AZ53" s="179"/>
      <c r="BA53" s="179"/>
      <c r="BB53" s="179"/>
      <c r="BC53" s="172">
        <f t="shared" ca="1" si="66"/>
        <v>38.965555555555561</v>
      </c>
      <c r="BD53" s="173">
        <f t="shared" ca="1" si="67"/>
        <v>19.48277777777778</v>
      </c>
      <c r="BE53" s="173">
        <f t="shared" ca="1" si="68"/>
        <v>19.48277777777778</v>
      </c>
      <c r="BF53" s="180"/>
      <c r="BG53" s="180"/>
      <c r="BH53" s="180"/>
      <c r="BI53" s="166">
        <f t="shared" ca="1" si="69"/>
        <v>48.700273504273497</v>
      </c>
      <c r="BJ53" s="167">
        <f t="shared" ca="1" si="70"/>
        <v>24.350136752136748</v>
      </c>
      <c r="BK53" s="167">
        <f t="shared" ca="1" si="71"/>
        <v>24.350136752136748</v>
      </c>
      <c r="BL53" s="178"/>
      <c r="BM53" s="178"/>
      <c r="BN53" s="178"/>
      <c r="BO53" s="169">
        <f t="shared" ca="1" si="72"/>
        <v>49.197641025641026</v>
      </c>
      <c r="BP53" s="170">
        <f ca="1">INDEX('Cap based on indoor unit SZ'!$V$43:$V$58,MATCH(AE53,'Cap based on indoor unit SZ'!$U$43:$U$58))</f>
        <v>24.598820512820513</v>
      </c>
      <c r="BQ53" s="170">
        <f ca="1">INDEX('Cap based on indoor unit SZ'!$V$43:$V$58,MATCH(AF53,'Cap based on indoor unit SZ'!$U$43:$U$58))</f>
        <v>24.598820512820513</v>
      </c>
      <c r="BR53" s="179"/>
      <c r="BS53" s="179"/>
      <c r="BT53" s="179"/>
      <c r="BU53" s="175">
        <v>19000</v>
      </c>
      <c r="BV53" s="175">
        <v>19000</v>
      </c>
      <c r="BW53" s="179"/>
      <c r="BX53" s="179"/>
      <c r="BY53" s="179"/>
      <c r="BZ53" s="172">
        <f t="shared" ca="1" si="73"/>
        <v>48.700273504273497</v>
      </c>
      <c r="CA53" s="173">
        <f t="shared" ca="1" si="74"/>
        <v>24.350136752136748</v>
      </c>
      <c r="CB53" s="173">
        <f t="shared" ca="1" si="75"/>
        <v>24.350136752136748</v>
      </c>
      <c r="CC53" s="180"/>
      <c r="CD53" s="180"/>
      <c r="CE53" s="180"/>
      <c r="CF53" s="166">
        <f t="shared" ca="1" si="76"/>
        <v>28.706992952280018</v>
      </c>
      <c r="CG53" s="167">
        <f t="shared" ca="1" si="77"/>
        <v>14.353496476140009</v>
      </c>
      <c r="CH53" s="167">
        <f t="shared" ca="1" si="77"/>
        <v>14.353496476140009</v>
      </c>
      <c r="CI53" s="178"/>
      <c r="CJ53" s="178"/>
      <c r="CK53" s="178"/>
    </row>
    <row r="54" spans="2:89">
      <c r="B54" s="283">
        <v>24</v>
      </c>
      <c r="C54" s="284">
        <v>89.6</v>
      </c>
      <c r="D54" s="284">
        <v>73.400000000000006</v>
      </c>
      <c r="E54" s="8" t="s">
        <v>16</v>
      </c>
      <c r="F54" s="8">
        <v>24.64</v>
      </c>
      <c r="G54" s="19">
        <v>25.11</v>
      </c>
      <c r="H54" s="19">
        <v>25.04</v>
      </c>
      <c r="I54" s="19">
        <v>24.88</v>
      </c>
      <c r="J54" s="19">
        <v>24.85</v>
      </c>
      <c r="K54" s="19">
        <v>27.18</v>
      </c>
      <c r="L54" s="2">
        <v>29.31</v>
      </c>
      <c r="M54" s="2">
        <v>28.78</v>
      </c>
      <c r="N54" s="2">
        <v>28.05</v>
      </c>
      <c r="O54" s="2">
        <v>22.26</v>
      </c>
      <c r="P54" s="2">
        <v>21.12</v>
      </c>
      <c r="Q54" s="2">
        <v>19.760000000000002</v>
      </c>
      <c r="R54" s="6"/>
      <c r="AC54" s="164" t="s">
        <v>182</v>
      </c>
      <c r="AD54" s="164">
        <v>36</v>
      </c>
      <c r="AE54" s="165">
        <v>18</v>
      </c>
      <c r="AF54" s="165">
        <v>24</v>
      </c>
      <c r="AG54" s="165"/>
      <c r="AH54" s="164"/>
      <c r="AI54" s="164"/>
      <c r="AJ54" s="512"/>
      <c r="AK54" s="166">
        <f t="shared" ca="1" si="61"/>
        <v>38.965555555555568</v>
      </c>
      <c r="AL54" s="167">
        <f t="shared" ca="1" si="62"/>
        <v>16.699523809523814</v>
      </c>
      <c r="AM54" s="167">
        <f t="shared" ca="1" si="63"/>
        <v>22.26603174603175</v>
      </c>
      <c r="AN54" s="178"/>
      <c r="AO54" s="178"/>
      <c r="AP54" s="178"/>
      <c r="AQ54" s="169">
        <f t="shared" ca="1" si="64"/>
        <v>44.273333333333326</v>
      </c>
      <c r="AR54" s="170">
        <f ca="1">INDEX('Cap based on indoor unit SZ'!$J$6:$J$21,MATCH(AE54,'Cap based on indoor unit SZ'!$I$6:$I$21))</f>
        <v>19.821111111111112</v>
      </c>
      <c r="AS54" s="170">
        <f ca="1">INDEX('Cap based on indoor unit SZ'!$J$6:$J$21,MATCH(AF54,'Cap based on indoor unit SZ'!$I$6:$I$21))</f>
        <v>24.452222222222218</v>
      </c>
      <c r="AT54" s="179"/>
      <c r="AU54" s="179"/>
      <c r="AV54" s="179"/>
      <c r="AW54" s="169">
        <f t="shared" si="65"/>
        <v>40</v>
      </c>
      <c r="AX54" s="170">
        <v>17.5</v>
      </c>
      <c r="AY54" s="170">
        <v>22.5</v>
      </c>
      <c r="AZ54" s="179"/>
      <c r="BA54" s="179"/>
      <c r="BB54" s="179"/>
      <c r="BC54" s="172">
        <f t="shared" ca="1" si="66"/>
        <v>38.965555555555568</v>
      </c>
      <c r="BD54" s="173">
        <f t="shared" ca="1" si="67"/>
        <v>16.699523809523814</v>
      </c>
      <c r="BE54" s="173">
        <f t="shared" ca="1" si="68"/>
        <v>22.26603174603175</v>
      </c>
      <c r="BF54" s="180"/>
      <c r="BG54" s="180"/>
      <c r="BH54" s="180"/>
      <c r="BI54" s="166">
        <f t="shared" ca="1" si="69"/>
        <v>48.700273504273504</v>
      </c>
      <c r="BJ54" s="167">
        <f t="shared" ca="1" si="70"/>
        <v>20.871545787545788</v>
      </c>
      <c r="BK54" s="167">
        <f t="shared" ca="1" si="71"/>
        <v>27.828727716727716</v>
      </c>
      <c r="BL54" s="178"/>
      <c r="BM54" s="178"/>
      <c r="BN54" s="178"/>
      <c r="BO54" s="169">
        <f t="shared" ca="1" si="72"/>
        <v>54.888820512820516</v>
      </c>
      <c r="BP54" s="170">
        <f ca="1">INDEX('Cap based on indoor unit SZ'!$V$43:$V$58,MATCH(AE54,'Cap based on indoor unit SZ'!$U$43:$U$58))</f>
        <v>24.598820512820513</v>
      </c>
      <c r="BQ54" s="170">
        <f ca="1">INDEX('Cap based on indoor unit SZ'!$V$43:$V$58,MATCH(AF54,'Cap based on indoor unit SZ'!$U$43:$U$58))</f>
        <v>30.290000000000003</v>
      </c>
      <c r="BR54" s="179"/>
      <c r="BS54" s="179"/>
      <c r="BT54" s="179"/>
      <c r="BU54" s="175">
        <v>18000</v>
      </c>
      <c r="BV54" s="175">
        <v>23000</v>
      </c>
      <c r="BW54" s="179"/>
      <c r="BX54" s="179"/>
      <c r="BY54" s="179"/>
      <c r="BZ54" s="172">
        <f t="shared" ca="1" si="73"/>
        <v>48.700273504273504</v>
      </c>
      <c r="CA54" s="173">
        <f t="shared" ca="1" si="74"/>
        <v>20.871545787545788</v>
      </c>
      <c r="CB54" s="173">
        <f t="shared" ca="1" si="75"/>
        <v>27.828727716727716</v>
      </c>
      <c r="CC54" s="180"/>
      <c r="CD54" s="180"/>
      <c r="CE54" s="180"/>
      <c r="CF54" s="166">
        <f t="shared" ca="1" si="76"/>
        <v>28.706992952280022</v>
      </c>
      <c r="CG54" s="167">
        <f t="shared" ca="1" si="77"/>
        <v>12.302996979548581</v>
      </c>
      <c r="CH54" s="167">
        <f t="shared" ca="1" si="77"/>
        <v>16.40399597273144</v>
      </c>
      <c r="CI54" s="178"/>
      <c r="CJ54" s="178"/>
      <c r="CK54" s="178"/>
    </row>
    <row r="55" spans="2:89">
      <c r="B55" s="283">
        <v>30</v>
      </c>
      <c r="C55" s="284">
        <v>69.8</v>
      </c>
      <c r="D55" s="284">
        <v>59</v>
      </c>
      <c r="E55" s="8" t="s">
        <v>16</v>
      </c>
      <c r="F55" s="8">
        <v>24.33</v>
      </c>
      <c r="G55" s="19">
        <v>24.8</v>
      </c>
      <c r="H55" s="19">
        <v>24.63</v>
      </c>
      <c r="I55" s="19">
        <v>24.93</v>
      </c>
      <c r="J55" s="19">
        <v>25.31</v>
      </c>
      <c r="K55" s="19">
        <v>25.34</v>
      </c>
      <c r="L55" s="2">
        <v>27.94</v>
      </c>
      <c r="M55" s="2">
        <v>27.17</v>
      </c>
      <c r="N55" s="2">
        <v>26.27</v>
      </c>
      <c r="O55" s="2">
        <v>22.53</v>
      </c>
      <c r="P55" s="2">
        <v>21.98</v>
      </c>
      <c r="Q55" s="2">
        <v>19.489999999999998</v>
      </c>
      <c r="R55" s="6"/>
      <c r="AC55" s="164" t="s">
        <v>181</v>
      </c>
      <c r="AD55" s="164">
        <v>36</v>
      </c>
      <c r="AE55" s="165">
        <v>24</v>
      </c>
      <c r="AF55" s="165">
        <v>24</v>
      </c>
      <c r="AG55" s="165"/>
      <c r="AH55" s="164"/>
      <c r="AI55" s="164"/>
      <c r="AJ55" s="512"/>
      <c r="AK55" s="166">
        <f t="shared" ca="1" si="61"/>
        <v>38.965555555555561</v>
      </c>
      <c r="AL55" s="167">
        <f t="shared" ca="1" si="62"/>
        <v>19.48277777777778</v>
      </c>
      <c r="AM55" s="167">
        <f t="shared" ca="1" si="63"/>
        <v>19.48277777777778</v>
      </c>
      <c r="AN55" s="178"/>
      <c r="AO55" s="178"/>
      <c r="AP55" s="178"/>
      <c r="AQ55" s="169">
        <f t="shared" ca="1" si="64"/>
        <v>48.904444444444437</v>
      </c>
      <c r="AR55" s="170">
        <f ca="1">INDEX('Cap based on indoor unit SZ'!$J$6:$J$21,MATCH(AE55,'Cap based on indoor unit SZ'!$I$6:$I$21))</f>
        <v>24.452222222222218</v>
      </c>
      <c r="AS55" s="170">
        <f ca="1">INDEX('Cap based on indoor unit SZ'!$J$6:$J$21,MATCH(AF55,'Cap based on indoor unit SZ'!$I$6:$I$21))</f>
        <v>24.452222222222218</v>
      </c>
      <c r="AT55" s="179"/>
      <c r="AU55" s="179"/>
      <c r="AV55" s="179"/>
      <c r="AW55" s="169">
        <f t="shared" si="65"/>
        <v>42</v>
      </c>
      <c r="AX55" s="170">
        <v>21</v>
      </c>
      <c r="AY55" s="170">
        <v>21</v>
      </c>
      <c r="AZ55" s="179"/>
      <c r="BA55" s="179"/>
      <c r="BB55" s="179"/>
      <c r="BC55" s="172">
        <f t="shared" ca="1" si="66"/>
        <v>38.965555555555561</v>
      </c>
      <c r="BD55" s="173">
        <f t="shared" ca="1" si="67"/>
        <v>19.48277777777778</v>
      </c>
      <c r="BE55" s="173">
        <f t="shared" ca="1" si="68"/>
        <v>19.48277777777778</v>
      </c>
      <c r="BF55" s="180"/>
      <c r="BG55" s="180"/>
      <c r="BH55" s="180"/>
      <c r="BI55" s="166">
        <f t="shared" ca="1" si="69"/>
        <v>48.700273504273497</v>
      </c>
      <c r="BJ55" s="167">
        <f t="shared" ca="1" si="70"/>
        <v>24.350136752136748</v>
      </c>
      <c r="BK55" s="167">
        <f t="shared" ca="1" si="71"/>
        <v>24.350136752136748</v>
      </c>
      <c r="BL55" s="178"/>
      <c r="BM55" s="178"/>
      <c r="BN55" s="178"/>
      <c r="BO55" s="169">
        <f t="shared" ca="1" si="72"/>
        <v>60.580000000000005</v>
      </c>
      <c r="BP55" s="170">
        <f ca="1">INDEX('Cap based on indoor unit SZ'!$V$43:$V$58,MATCH(AE55,'Cap based on indoor unit SZ'!$U$43:$U$58))</f>
        <v>30.290000000000003</v>
      </c>
      <c r="BQ55" s="170">
        <f ca="1">INDEX('Cap based on indoor unit SZ'!$V$43:$V$58,MATCH(AF55,'Cap based on indoor unit SZ'!$U$43:$U$58))</f>
        <v>30.290000000000003</v>
      </c>
      <c r="BR55" s="179"/>
      <c r="BS55" s="179"/>
      <c r="BT55" s="179"/>
      <c r="BU55" s="175">
        <v>22000</v>
      </c>
      <c r="BV55" s="175">
        <v>22000</v>
      </c>
      <c r="BW55" s="179"/>
      <c r="BX55" s="179"/>
      <c r="BY55" s="179"/>
      <c r="BZ55" s="172">
        <f t="shared" ca="1" si="73"/>
        <v>48.700273504273497</v>
      </c>
      <c r="CA55" s="173">
        <f t="shared" ca="1" si="74"/>
        <v>24.350136752136748</v>
      </c>
      <c r="CB55" s="173">
        <f t="shared" ca="1" si="75"/>
        <v>24.350136752136748</v>
      </c>
      <c r="CC55" s="180"/>
      <c r="CD55" s="180"/>
      <c r="CE55" s="180"/>
      <c r="CF55" s="166">
        <f t="shared" ca="1" si="76"/>
        <v>28.706992952280018</v>
      </c>
      <c r="CG55" s="167">
        <f t="shared" ca="1" si="77"/>
        <v>14.353496476140009</v>
      </c>
      <c r="CH55" s="167">
        <f t="shared" ca="1" si="77"/>
        <v>14.353496476140009</v>
      </c>
      <c r="CI55" s="178"/>
      <c r="CJ55" s="178"/>
      <c r="CK55" s="178"/>
    </row>
    <row r="56" spans="2:89">
      <c r="B56" s="283">
        <v>30</v>
      </c>
      <c r="C56" s="284">
        <v>75.2</v>
      </c>
      <c r="D56" s="284">
        <v>62.6</v>
      </c>
      <c r="E56" s="8" t="s">
        <v>16</v>
      </c>
      <c r="F56" s="8">
        <v>25.07</v>
      </c>
      <c r="G56" s="19">
        <v>25.55</v>
      </c>
      <c r="H56" s="19">
        <v>25.36</v>
      </c>
      <c r="I56" s="19">
        <v>25.68</v>
      </c>
      <c r="J56" s="19">
        <v>26.06</v>
      </c>
      <c r="K56" s="19">
        <v>27.96</v>
      </c>
      <c r="L56" s="2">
        <v>31.52</v>
      </c>
      <c r="M56" s="2">
        <v>33.520000000000003</v>
      </c>
      <c r="N56" s="2">
        <v>32.29</v>
      </c>
      <c r="O56" s="2">
        <v>24.77</v>
      </c>
      <c r="P56" s="2">
        <v>23.15</v>
      </c>
      <c r="Q56" s="2">
        <v>21.33</v>
      </c>
      <c r="R56" s="6"/>
      <c r="AC56" s="164" t="s">
        <v>180</v>
      </c>
      <c r="AD56" s="164">
        <v>36</v>
      </c>
      <c r="AE56" s="165">
        <v>9</v>
      </c>
      <c r="AF56" s="165">
        <v>9</v>
      </c>
      <c r="AG56" s="165">
        <v>9</v>
      </c>
      <c r="AH56" s="164"/>
      <c r="AI56" s="164"/>
      <c r="AJ56" s="500">
        <v>3</v>
      </c>
      <c r="AK56" s="166">
        <f t="shared" ca="1" si="61"/>
        <v>31.389333333333333</v>
      </c>
      <c r="AL56" s="167">
        <f t="shared" ref="AL56:AL73" ca="1" si="78">IF((INDEX($AA$4:$AA$7,MATCH(INDOOR_1,$Z$4:$Z$7))*(INDEX($X$27:$X$46,MATCH($AD56,$W$27:$W$46,1))/(INDEX($AA$4:$AA$7,MATCH(INDOOR_1,$Z$4:$Z$7))+INDEX($AA$4:$AA$7,MATCH(INDOOR_2,$Z$4:$Z$7))+INDEX($AA$4:$AA$7,MATCH(INDOOR_3,$Z$4:$Z$7)))))
&gt;AR56,AR56,
(INDEX($AA$4:$AA$7,MATCH(INDOOR_1,$Z$4:$Z$7))*(INDEX($X$27:$X$46,MATCH($AD56,$W$27:$W$46,1))/(INDEX($AA$4:$AA$7,MATCH(INDOOR_1,$Z$4:$Z$7))+INDEX($AA$4:$AA$7,MATCH(INDOOR_2,$Z$4:$Z$7))+INDEX($AA$4:$AA$7,MATCH(INDOOR_3,$Z$4:$Z$7))))))</f>
        <v>10.463111111111111</v>
      </c>
      <c r="AM56" s="167">
        <f t="shared" ref="AM56:AM73" ca="1" si="79">IF((INDEX($AA$4:$AA$7,MATCH(INDOOR_2,$Z$4:$Z$7))*(INDEX($X$27:$X$46,MATCH($AD56,$W$27:$W$46,1))/(INDEX($AA$4:$AA$7,MATCH(INDOOR_1,$Z$4:$Z$7))+INDEX($AA$4:$AA$7,MATCH(INDOOR_2,$Z$4:$Z$7))+INDEX($AA$4:$AA$7,MATCH(INDOOR_3,$Z$4:$Z$7)))))
&gt;AS56,AS56,
(INDEX($AA$4:$AA$7,MATCH(INDOOR_2,$Z$4:$Z$7))*(INDEX($X$27:$X$46,MATCH($AD56,$W$27:$W$46,1))/(INDEX($AA$4:$AA$7,MATCH(INDOOR_1,$Z$4:$Z$7))+INDEX($AA$4:$AA$7,MATCH(INDOOR_2,$Z$4:$Z$7))+INDEX($AA$4:$AA$7,MATCH(INDOOR_3,$Z$4:$Z$7))))))</f>
        <v>10.463111111111111</v>
      </c>
      <c r="AN56" s="167">
        <f t="shared" ref="AN56:AN73" ca="1" si="80">IF((INDEX($AA$4:$AA$7,MATCH(INDOOR_3,$Z$4:$Z$7))*(INDEX($X$27:$X$46,MATCH($AD56,$W$27:$W$46,1))/(INDEX($AA$4:$AA$7,MATCH(INDOOR_1,$Z$4:$Z$7))+INDEX($AA$4:$AA$7,MATCH(INDOOR_2,$Z$4:$Z$7))+INDEX($AA$4:$AA$7,MATCH(INDOOR_3,$Z$4:$Z$7)))))
&gt;AT56,AT56,
(INDEX($AA$4:$AA$7,MATCH(INDOOR_3,$Z$4:$Z$7))*(INDEX($X$27:$X$46,MATCH($AD56,$W$27:$W$46,1))/(INDEX($AA$4:$AA$7,MATCH(INDOOR_1,$Z$4:$Z$7))+INDEX($AA$4:$AA$7,MATCH(INDOOR_2,$Z$4:$Z$7))+INDEX($AA$4:$AA$7,MATCH(INDOOR_3,$Z$4:$Z$7))))))</f>
        <v>10.463111111111111</v>
      </c>
      <c r="AO56" s="178"/>
      <c r="AP56" s="178"/>
      <c r="AQ56" s="169">
        <f t="shared" ca="1" si="64"/>
        <v>31.389333333333333</v>
      </c>
      <c r="AR56" s="170">
        <f ca="1">INDEX('Cap based on indoor unit SZ'!$J$6:$J$21,MATCH(AE56,'Cap based on indoor unit SZ'!$I$6:$I$21))</f>
        <v>10.463111111111111</v>
      </c>
      <c r="AS56" s="170">
        <f ca="1">INDEX('Cap based on indoor unit SZ'!$J$6:$J$21,MATCH(AF56,'Cap based on indoor unit SZ'!$I$6:$I$21))</f>
        <v>10.463111111111111</v>
      </c>
      <c r="AT56" s="170">
        <f ca="1">INDEX('Cap based on indoor unit SZ'!$J$6:$J$21,MATCH(AG56,'Cap based on indoor unit SZ'!$I$6:$I$21))</f>
        <v>10.463111111111111</v>
      </c>
      <c r="AU56" s="179"/>
      <c r="AV56" s="179"/>
      <c r="AW56" s="169">
        <f t="shared" si="65"/>
        <v>28.5</v>
      </c>
      <c r="AX56" s="170">
        <v>9.5</v>
      </c>
      <c r="AY56" s="170">
        <v>9.5</v>
      </c>
      <c r="AZ56" s="170">
        <v>9.5</v>
      </c>
      <c r="BA56" s="179"/>
      <c r="BB56" s="179"/>
      <c r="BC56" s="172">
        <f t="shared" ca="1" si="66"/>
        <v>38.965555555555561</v>
      </c>
      <c r="BD56" s="173">
        <f t="shared" ref="BD56:BF73" ca="1" si="81">(INDEX($AA$4:$AA$7,MATCH(AE56,$Z$4:$Z$7))*(INDEX($X$27:$X$46,MATCH($AD56,$W$27:$W$46,1))/(INDEX($AA$4:$AA$7,MATCH($AE56,$Z$4:$Z$7))+INDEX($AA$4:$AA$7,MATCH($AF56,$Z$4:$Z$7))+INDEX($AA$4:$AA$7,MATCH($AG56,$Z$4:$Z$7)))))</f>
        <v>12.98851851851852</v>
      </c>
      <c r="BE56" s="173">
        <f t="shared" ca="1" si="81"/>
        <v>12.98851851851852</v>
      </c>
      <c r="BF56" s="173">
        <f t="shared" ca="1" si="81"/>
        <v>12.98851851851852</v>
      </c>
      <c r="BG56" s="180"/>
      <c r="BH56" s="180"/>
      <c r="BI56" s="166">
        <f t="shared" ca="1" si="69"/>
        <v>35.868061538461532</v>
      </c>
      <c r="BJ56" s="167">
        <f t="shared" ref="BJ56:BJ73" ca="1" si="82">IF((INDEX($AA$4:$AA$7,MATCH(INDOOR_1,$Z$4:$Z$7))*(INDEX($X$118:$X$137,MATCH($AD56,$W$118:$W$137,1))/(INDEX($AA$4:$AA$7,MATCH(INDOOR_1,$Z$4:$Z$7))+INDEX($AA$4:$AA$7,MATCH(INDOOR_2,$Z$4:$Z$7))+INDEX($AA$4:$AA$7,MATCH(INDOOR_3,$Z$4:$Z$7)))))
&gt;BP56,BP56,
(INDEX($AA$4:$AA$7,MATCH(INDOOR_1,$Z$4:$Z$7))*(INDEX($X$118:$X$137,MATCH($AD56,$W$118:$W$137,1))/(INDEX($AA$4:$AA$7,MATCH(INDOOR_1,$Z$4:$Z$7))+INDEX($AA$4:$AA$7,MATCH(INDOOR_2,$Z$4:$Z$7))+INDEX($AA$4:$AA$7,MATCH(INDOOR_3,$Z$4:$Z$7))))))</f>
        <v>11.956020512820512</v>
      </c>
      <c r="BK56" s="167">
        <f t="shared" ref="BK56:BK73" ca="1" si="83">IF((INDEX($AA$4:$AA$7,MATCH(INDOOR_2,$Z$4:$Z$7))*(INDEX($X$118:$X$137,MATCH($AD56,$W$118:$W$137,1))/(INDEX($AA$4:$AA$7,MATCH(INDOOR_1,$Z$4:$Z$7))+INDEX($AA$4:$AA$7,MATCH(INDOOR_2,$Z$4:$Z$7))+INDEX($AA$4:$AA$7,MATCH(INDOOR_3,$Z$4:$Z$7)))))
&gt;BQ56,BQ56,
(INDEX($AA$4:$AA$7,MATCH(INDOOR_2,$Z$4:$Z$7))*(INDEX($X$118:$X$137,MATCH($AD56,$W$118:$W$137,1))/(INDEX($AA$4:$AA$7,MATCH(INDOOR_1,$Z$4:$Z$7))+INDEX($AA$4:$AA$7,MATCH(INDOOR_2,$Z$4:$Z$7))+INDEX($AA$4:$AA$7,MATCH(INDOOR_3,$Z$4:$Z$7))))))</f>
        <v>11.956020512820512</v>
      </c>
      <c r="BL56" s="167">
        <f t="shared" ref="BL56:BL73" ca="1" si="84">IF((INDEX($AA$4:$AA$7,MATCH(INDOOR_3,$Z$4:$Z$7))*(INDEX($X$118:$X$137,MATCH($AD56,$W$118:$W$137,1))/(INDEX($AA$4:$AA$7,MATCH(INDOOR_1,$Z$4:$Z$7))+INDEX($AA$4:$AA$7,MATCH(INDOOR_2,$Z$4:$Z$7))+INDEX($AA$4:$AA$7,MATCH(INDOOR_3,$Z$4:$Z$7)))))
&gt;BR56,BR56,
(INDEX($AA$4:$AA$7,MATCH(INDOOR_3,$Z$4:$Z$7))*(INDEX($X$118:$X$137,MATCH($AD56,$W$118:$W$137,1))/(INDEX($AA$4:$AA$7,MATCH(INDOOR_1,$Z$4:$Z$7))+INDEX($AA$4:$AA$7,MATCH(INDOOR_2,$Z$4:$Z$7))+INDEX($AA$4:$AA$7,MATCH(INDOOR_3,$Z$4:$Z$7))))))</f>
        <v>11.956020512820512</v>
      </c>
      <c r="BM56" s="178"/>
      <c r="BN56" s="178"/>
      <c r="BO56" s="169">
        <f t="shared" ca="1" si="72"/>
        <v>35.868061538461532</v>
      </c>
      <c r="BP56" s="170">
        <f ca="1">INDEX('Cap based on indoor unit SZ'!$V$43:$V$58,MATCH(AE56,'Cap based on indoor unit SZ'!$U$43:$U$58))</f>
        <v>11.956020512820512</v>
      </c>
      <c r="BQ56" s="170">
        <f ca="1">INDEX('Cap based on indoor unit SZ'!$V$43:$V$58,MATCH(AF56,'Cap based on indoor unit SZ'!$U$43:$U$58))</f>
        <v>11.956020512820512</v>
      </c>
      <c r="BR56" s="170">
        <f ca="1">INDEX('Cap based on indoor unit SZ'!$V$43:$V$58,MATCH(AG56,'Cap based on indoor unit SZ'!$U$43:$U$58))</f>
        <v>11.956020512820512</v>
      </c>
      <c r="BS56" s="179"/>
      <c r="BT56" s="179"/>
      <c r="BU56" s="175">
        <v>11000</v>
      </c>
      <c r="BV56" s="175">
        <v>11000</v>
      </c>
      <c r="BW56" s="175">
        <v>11000</v>
      </c>
      <c r="BX56" s="179"/>
      <c r="BY56" s="179"/>
      <c r="BZ56" s="172">
        <f t="shared" ca="1" si="73"/>
        <v>48.700273504273497</v>
      </c>
      <c r="CA56" s="173">
        <f t="shared" ref="CA56:CA73" ca="1" si="85">(INDEX($AA$4:$AA$7,MATCH(INDOOR_1,$Z$4:$Z$7))*(INDEX($X$118:$X$137,MATCH($AD56,$W$118:$W$137,1))/(INDEX($AA$4:$AA$7,MATCH(INDOOR_1,$Z$4:$Z$7))+INDEX($AA$4:$AA$7,MATCH(INDOOR_2,$Z$4:$Z$7))+INDEX($AA$4:$AA$7,MATCH(INDOOR_3,$Z$4:$Z$7)))))</f>
        <v>16.233424501424498</v>
      </c>
      <c r="CB56" s="173">
        <f t="shared" ref="CB56:CB73" ca="1" si="86">(INDEX($AA$4:$AA$7,MATCH(INDOOR_2,$Z$4:$Z$7))*(INDEX($X$118:$X$137,MATCH($AD56,$W$118:$W$137,1))/(INDEX($AA$4:$AA$7,MATCH(INDOOR_1,$Z$4:$Z$7))+INDEX($AA$4:$AA$7,MATCH(INDOOR_2,$Z$4:$Z$7))+INDEX($AA$4:$AA$7,MATCH(INDOOR_3,$Z$4:$Z$7)))))</f>
        <v>16.233424501424498</v>
      </c>
      <c r="CC56" s="173">
        <f t="shared" ref="CC56:CC73" ca="1" si="87">(INDEX($AA$4:$AA$7,MATCH(INDOOR_3,$Z$4:$Z$7))*(INDEX($X$118:$X$137,MATCH($AD56,$W$118:$W$137,1))/(INDEX($AA$4:$AA$7,MATCH(INDOOR_1,$Z$4:$Z$7))+INDEX($AA$4:$AA$7,MATCH(INDOOR_2,$Z$4:$Z$7))+INDEX($AA$4:$AA$7,MATCH(INDOOR_3,$Z$4:$Z$7)))))</f>
        <v>16.233424501424498</v>
      </c>
      <c r="CD56" s="180"/>
      <c r="CE56" s="180"/>
      <c r="CF56" s="166">
        <f t="shared" ca="1" si="76"/>
        <v>23.125382351908847</v>
      </c>
      <c r="CG56" s="167">
        <f t="shared" ca="1" si="77"/>
        <v>7.7084607839696151</v>
      </c>
      <c r="CH56" s="167">
        <f t="shared" ca="1" si="77"/>
        <v>7.7084607839696151</v>
      </c>
      <c r="CI56" s="167">
        <f t="shared" ca="1" si="77"/>
        <v>7.7084607839696151</v>
      </c>
      <c r="CJ56" s="178"/>
      <c r="CK56" s="178"/>
    </row>
    <row r="57" spans="2:89">
      <c r="B57" s="283">
        <v>30</v>
      </c>
      <c r="C57" s="284">
        <v>80.599999999999994</v>
      </c>
      <c r="D57" s="284">
        <v>66.2</v>
      </c>
      <c r="E57" s="8" t="s">
        <v>16</v>
      </c>
      <c r="F57" s="8">
        <v>27.84</v>
      </c>
      <c r="G57" s="19">
        <v>28.37</v>
      </c>
      <c r="H57" s="19">
        <v>28.29</v>
      </c>
      <c r="I57" s="19">
        <v>28.56</v>
      </c>
      <c r="J57" s="19">
        <v>28.76</v>
      </c>
      <c r="K57" s="19">
        <v>28.43</v>
      </c>
      <c r="L57" s="2">
        <v>30.33</v>
      </c>
      <c r="M57" s="2">
        <v>27.74</v>
      </c>
      <c r="N57" s="2">
        <v>27.09</v>
      </c>
      <c r="O57" s="2">
        <v>24.22</v>
      </c>
      <c r="P57" s="2">
        <v>26.06</v>
      </c>
      <c r="Q57" s="2">
        <v>23.06</v>
      </c>
      <c r="R57" s="6"/>
      <c r="AC57" s="164" t="s">
        <v>179</v>
      </c>
      <c r="AD57" s="164">
        <v>36</v>
      </c>
      <c r="AE57" s="165">
        <v>9</v>
      </c>
      <c r="AF57" s="165">
        <v>9</v>
      </c>
      <c r="AG57" s="165">
        <v>12</v>
      </c>
      <c r="AH57" s="164"/>
      <c r="AI57" s="164"/>
      <c r="AJ57" s="500"/>
      <c r="AK57" s="166">
        <f t="shared" ca="1" si="61"/>
        <v>34.005111111111113</v>
      </c>
      <c r="AL57" s="167">
        <f t="shared" ca="1" si="78"/>
        <v>10.463111111111111</v>
      </c>
      <c r="AM57" s="167">
        <f t="shared" ca="1" si="79"/>
        <v>10.463111111111111</v>
      </c>
      <c r="AN57" s="167">
        <f t="shared" ca="1" si="80"/>
        <v>13.078888888888891</v>
      </c>
      <c r="AO57" s="178"/>
      <c r="AP57" s="178"/>
      <c r="AQ57" s="169">
        <f t="shared" ca="1" si="64"/>
        <v>34.005111111111113</v>
      </c>
      <c r="AR57" s="170">
        <f ca="1">INDEX('Cap based on indoor unit SZ'!$J$6:$J$21,MATCH(AE57,'Cap based on indoor unit SZ'!$I$6:$I$21))</f>
        <v>10.463111111111111</v>
      </c>
      <c r="AS57" s="170">
        <f ca="1">INDEX('Cap based on indoor unit SZ'!$J$6:$J$21,MATCH(AF57,'Cap based on indoor unit SZ'!$I$6:$I$21))</f>
        <v>10.463111111111111</v>
      </c>
      <c r="AT57" s="170">
        <f ca="1">INDEX('Cap based on indoor unit SZ'!$J$6:$J$21,MATCH(AG57,'Cap based on indoor unit SZ'!$I$6:$I$21))</f>
        <v>13.078888888888891</v>
      </c>
      <c r="AU57" s="179"/>
      <c r="AV57" s="179"/>
      <c r="AW57" s="169">
        <f t="shared" si="65"/>
        <v>31</v>
      </c>
      <c r="AX57" s="170">
        <v>9.5</v>
      </c>
      <c r="AY57" s="170">
        <v>9.5</v>
      </c>
      <c r="AZ57" s="170">
        <v>12</v>
      </c>
      <c r="BA57" s="179"/>
      <c r="BB57" s="179"/>
      <c r="BC57" s="172">
        <f t="shared" ca="1" si="66"/>
        <v>38.965555555555568</v>
      </c>
      <c r="BD57" s="173">
        <f t="shared" ca="1" si="81"/>
        <v>11.689666666666669</v>
      </c>
      <c r="BE57" s="173">
        <f t="shared" ca="1" si="81"/>
        <v>11.689666666666669</v>
      </c>
      <c r="BF57" s="173">
        <f t="shared" ca="1" si="81"/>
        <v>15.586222222222226</v>
      </c>
      <c r="BG57" s="180"/>
      <c r="BH57" s="180"/>
      <c r="BI57" s="166">
        <f t="shared" ca="1" si="69"/>
        <v>38.857066666666668</v>
      </c>
      <c r="BJ57" s="167">
        <f t="shared" ca="1" si="82"/>
        <v>11.956020512820512</v>
      </c>
      <c r="BK57" s="167">
        <f t="shared" ca="1" si="83"/>
        <v>11.956020512820512</v>
      </c>
      <c r="BL57" s="167">
        <f t="shared" ca="1" si="84"/>
        <v>14.945025641025641</v>
      </c>
      <c r="BM57" s="178"/>
      <c r="BN57" s="178"/>
      <c r="BO57" s="169">
        <f t="shared" ca="1" si="72"/>
        <v>38.857066666666668</v>
      </c>
      <c r="BP57" s="170">
        <f ca="1">INDEX('Cap based on indoor unit SZ'!$V$43:$V$58,MATCH(AE57,'Cap based on indoor unit SZ'!$U$43:$U$58))</f>
        <v>11.956020512820512</v>
      </c>
      <c r="BQ57" s="170">
        <f ca="1">INDEX('Cap based on indoor unit SZ'!$V$43:$V$58,MATCH(AF57,'Cap based on indoor unit SZ'!$U$43:$U$58))</f>
        <v>11.956020512820512</v>
      </c>
      <c r="BR57" s="170">
        <f ca="1">INDEX('Cap based on indoor unit SZ'!$V$43:$V$58,MATCH(AG57,'Cap based on indoor unit SZ'!$U$43:$U$58))</f>
        <v>14.945025641025641</v>
      </c>
      <c r="BS57" s="179"/>
      <c r="BT57" s="179"/>
      <c r="BU57" s="175">
        <v>10500</v>
      </c>
      <c r="BV57" s="175">
        <v>10500</v>
      </c>
      <c r="BW57" s="175">
        <v>13000</v>
      </c>
      <c r="BX57" s="179"/>
      <c r="BY57" s="179"/>
      <c r="BZ57" s="172">
        <f t="shared" ca="1" si="73"/>
        <v>48.700273504273497</v>
      </c>
      <c r="CA57" s="173">
        <f t="shared" ca="1" si="85"/>
        <v>14.610082051282051</v>
      </c>
      <c r="CB57" s="173">
        <f t="shared" ca="1" si="86"/>
        <v>14.610082051282051</v>
      </c>
      <c r="CC57" s="173">
        <f t="shared" ca="1" si="87"/>
        <v>19.480109401709399</v>
      </c>
      <c r="CD57" s="180"/>
      <c r="CE57" s="180"/>
      <c r="CF57" s="166">
        <f t="shared" ca="1" si="76"/>
        <v>25.05249754790125</v>
      </c>
      <c r="CG57" s="167">
        <f t="shared" ca="1" si="77"/>
        <v>7.7084607839696151</v>
      </c>
      <c r="CH57" s="167">
        <f t="shared" ca="1" si="77"/>
        <v>7.7084607839696151</v>
      </c>
      <c r="CI57" s="167">
        <f t="shared" ca="1" si="77"/>
        <v>9.6355759799620202</v>
      </c>
      <c r="CJ57" s="178"/>
      <c r="CK57" s="178"/>
    </row>
    <row r="58" spans="2:89">
      <c r="B58" s="283">
        <v>30</v>
      </c>
      <c r="C58" s="284">
        <v>89.6</v>
      </c>
      <c r="D58" s="284">
        <v>73.400000000000006</v>
      </c>
      <c r="E58" s="8" t="s">
        <v>16</v>
      </c>
      <c r="F58" s="8">
        <v>30.06</v>
      </c>
      <c r="G58" s="19">
        <v>30.64</v>
      </c>
      <c r="H58" s="19">
        <v>30.56</v>
      </c>
      <c r="I58" s="19">
        <v>31.14</v>
      </c>
      <c r="J58" s="19">
        <v>31.06</v>
      </c>
      <c r="K58" s="19">
        <v>32.9</v>
      </c>
      <c r="L58" s="2">
        <v>35.53</v>
      </c>
      <c r="M58" s="2">
        <v>36.979999999999997</v>
      </c>
      <c r="N58" s="2">
        <v>36.07</v>
      </c>
      <c r="O58" s="2">
        <v>29.12</v>
      </c>
      <c r="P58" s="2">
        <v>27.85</v>
      </c>
      <c r="Q58" s="2">
        <v>25.41</v>
      </c>
      <c r="R58" s="6"/>
      <c r="AC58" s="164" t="s">
        <v>178</v>
      </c>
      <c r="AD58" s="164">
        <v>36</v>
      </c>
      <c r="AE58" s="165">
        <v>9</v>
      </c>
      <c r="AF58" s="165">
        <v>9</v>
      </c>
      <c r="AG58" s="165">
        <v>18</v>
      </c>
      <c r="AH58" s="164"/>
      <c r="AI58" s="164"/>
      <c r="AJ58" s="500"/>
      <c r="AK58" s="166">
        <f t="shared" ca="1" si="61"/>
        <v>38.965555555555561</v>
      </c>
      <c r="AL58" s="167">
        <f t="shared" ca="1" si="78"/>
        <v>9.7413888888888902</v>
      </c>
      <c r="AM58" s="167">
        <f t="shared" ca="1" si="79"/>
        <v>9.7413888888888902</v>
      </c>
      <c r="AN58" s="167">
        <f t="shared" ca="1" si="80"/>
        <v>19.48277777777778</v>
      </c>
      <c r="AO58" s="178"/>
      <c r="AP58" s="178"/>
      <c r="AQ58" s="169">
        <f t="shared" ca="1" si="64"/>
        <v>40.74733333333333</v>
      </c>
      <c r="AR58" s="170">
        <f ca="1">INDEX('Cap based on indoor unit SZ'!$J$6:$J$21,MATCH(AE58,'Cap based on indoor unit SZ'!$I$6:$I$21))</f>
        <v>10.463111111111111</v>
      </c>
      <c r="AS58" s="170">
        <f ca="1">INDEX('Cap based on indoor unit SZ'!$J$6:$J$21,MATCH(AF58,'Cap based on indoor unit SZ'!$I$6:$I$21))</f>
        <v>10.463111111111111</v>
      </c>
      <c r="AT58" s="170">
        <f ca="1">INDEX('Cap based on indoor unit SZ'!$J$6:$J$21,MATCH(AG58,'Cap based on indoor unit SZ'!$I$6:$I$21))</f>
        <v>19.821111111111112</v>
      </c>
      <c r="AU58" s="179"/>
      <c r="AV58" s="179"/>
      <c r="AW58" s="169">
        <f t="shared" si="65"/>
        <v>37</v>
      </c>
      <c r="AX58" s="170">
        <v>9.5</v>
      </c>
      <c r="AY58" s="170">
        <v>9.5</v>
      </c>
      <c r="AZ58" s="170">
        <v>18</v>
      </c>
      <c r="BA58" s="179"/>
      <c r="BB58" s="179"/>
      <c r="BC58" s="172">
        <f t="shared" ca="1" si="66"/>
        <v>38.965555555555561</v>
      </c>
      <c r="BD58" s="173">
        <f t="shared" ca="1" si="81"/>
        <v>9.7413888888888902</v>
      </c>
      <c r="BE58" s="173">
        <f t="shared" ca="1" si="81"/>
        <v>9.7413888888888902</v>
      </c>
      <c r="BF58" s="173">
        <f t="shared" ca="1" si="81"/>
        <v>19.48277777777778</v>
      </c>
      <c r="BG58" s="180"/>
      <c r="BH58" s="180"/>
      <c r="BI58" s="166">
        <f t="shared" ca="1" si="69"/>
        <v>48.262177777777772</v>
      </c>
      <c r="BJ58" s="167">
        <f t="shared" ca="1" si="82"/>
        <v>11.956020512820512</v>
      </c>
      <c r="BK58" s="167">
        <f t="shared" ca="1" si="83"/>
        <v>11.956020512820512</v>
      </c>
      <c r="BL58" s="167">
        <f t="shared" ca="1" si="84"/>
        <v>24.350136752136748</v>
      </c>
      <c r="BM58" s="178"/>
      <c r="BN58" s="178"/>
      <c r="BO58" s="169">
        <f t="shared" ca="1" si="72"/>
        <v>48.51086153846154</v>
      </c>
      <c r="BP58" s="170">
        <f ca="1">INDEX('Cap based on indoor unit SZ'!$V$43:$V$58,MATCH(AE58,'Cap based on indoor unit SZ'!$U$43:$U$58))</f>
        <v>11.956020512820512</v>
      </c>
      <c r="BQ58" s="170">
        <f ca="1">INDEX('Cap based on indoor unit SZ'!$V$43:$V$58,MATCH(AF58,'Cap based on indoor unit SZ'!$U$43:$U$58))</f>
        <v>11.956020512820512</v>
      </c>
      <c r="BR58" s="170">
        <f ca="1">INDEX('Cap based on indoor unit SZ'!$V$43:$V$58,MATCH(AG58,'Cap based on indoor unit SZ'!$U$43:$U$58))</f>
        <v>24.598820512820513</v>
      </c>
      <c r="BS58" s="179"/>
      <c r="BT58" s="179"/>
      <c r="BU58" s="175">
        <v>10000</v>
      </c>
      <c r="BV58" s="175">
        <v>10000</v>
      </c>
      <c r="BW58" s="175">
        <v>19000</v>
      </c>
      <c r="BX58" s="179"/>
      <c r="BY58" s="179"/>
      <c r="BZ58" s="172">
        <f t="shared" ca="1" si="73"/>
        <v>48.700273504273497</v>
      </c>
      <c r="CA58" s="173">
        <f t="shared" ca="1" si="85"/>
        <v>12.175068376068374</v>
      </c>
      <c r="CB58" s="173">
        <f t="shared" ca="1" si="86"/>
        <v>12.175068376068374</v>
      </c>
      <c r="CC58" s="173">
        <f t="shared" ca="1" si="87"/>
        <v>24.350136752136748</v>
      </c>
      <c r="CD58" s="180"/>
      <c r="CE58" s="180"/>
      <c r="CF58" s="166">
        <f t="shared" ca="1" si="76"/>
        <v>28.706992952280018</v>
      </c>
      <c r="CG58" s="167">
        <f t="shared" ca="1" si="77"/>
        <v>7.1767482380700045</v>
      </c>
      <c r="CH58" s="167">
        <f t="shared" ca="1" si="77"/>
        <v>7.1767482380700045</v>
      </c>
      <c r="CI58" s="167">
        <f t="shared" ca="1" si="77"/>
        <v>14.353496476140009</v>
      </c>
      <c r="CJ58" s="178"/>
      <c r="CK58" s="178"/>
    </row>
    <row r="59" spans="2:89">
      <c r="B59" s="283">
        <v>36</v>
      </c>
      <c r="C59" s="284">
        <v>69.8</v>
      </c>
      <c r="D59" s="284">
        <v>59</v>
      </c>
      <c r="E59" s="8" t="s">
        <v>16</v>
      </c>
      <c r="F59" s="8">
        <v>25.12</v>
      </c>
      <c r="G59" s="19">
        <v>25.6</v>
      </c>
      <c r="H59" s="19">
        <v>25.31</v>
      </c>
      <c r="I59" s="19">
        <v>25.77</v>
      </c>
      <c r="J59" s="19">
        <v>26.03</v>
      </c>
      <c r="K59" s="19">
        <v>26.71</v>
      </c>
      <c r="L59" s="2">
        <v>28.94</v>
      </c>
      <c r="M59" s="2">
        <v>26.73</v>
      </c>
      <c r="N59" s="2">
        <v>25.64</v>
      </c>
      <c r="O59" s="2">
        <v>23.09</v>
      </c>
      <c r="P59" s="2">
        <v>24.07</v>
      </c>
      <c r="Q59" s="2">
        <v>22.01</v>
      </c>
      <c r="R59" s="6"/>
      <c r="AC59" s="164" t="s">
        <v>177</v>
      </c>
      <c r="AD59" s="164">
        <v>36</v>
      </c>
      <c r="AE59" s="165">
        <v>9</v>
      </c>
      <c r="AF59" s="165">
        <v>9</v>
      </c>
      <c r="AG59" s="165">
        <v>24</v>
      </c>
      <c r="AH59" s="164"/>
      <c r="AI59" s="164"/>
      <c r="AJ59" s="501"/>
      <c r="AK59" s="166">
        <f t="shared" ca="1" si="61"/>
        <v>38.965555555555568</v>
      </c>
      <c r="AL59" s="167">
        <f t="shared" ca="1" si="78"/>
        <v>8.3497619047619072</v>
      </c>
      <c r="AM59" s="167">
        <f t="shared" ca="1" si="79"/>
        <v>8.3497619047619072</v>
      </c>
      <c r="AN59" s="167">
        <f t="shared" ca="1" si="80"/>
        <v>22.26603174603175</v>
      </c>
      <c r="AO59" s="178"/>
      <c r="AP59" s="178"/>
      <c r="AQ59" s="169">
        <f t="shared" ca="1" si="64"/>
        <v>45.37844444444444</v>
      </c>
      <c r="AR59" s="170">
        <f ca="1">INDEX('Cap based on indoor unit SZ'!$J$6:$J$21,MATCH(AE59,'Cap based on indoor unit SZ'!$I$6:$I$21))</f>
        <v>10.463111111111111</v>
      </c>
      <c r="AS59" s="170">
        <f ca="1">INDEX('Cap based on indoor unit SZ'!$J$6:$J$21,MATCH(AF59,'Cap based on indoor unit SZ'!$I$6:$I$21))</f>
        <v>10.463111111111111</v>
      </c>
      <c r="AT59" s="170">
        <f ca="1">INDEX('Cap based on indoor unit SZ'!$J$6:$J$21,MATCH(AG59,'Cap based on indoor unit SZ'!$I$6:$I$21))</f>
        <v>24.452222222222218</v>
      </c>
      <c r="AU59" s="179"/>
      <c r="AV59" s="179"/>
      <c r="AW59" s="169">
        <f t="shared" si="65"/>
        <v>40.5</v>
      </c>
      <c r="AX59" s="170">
        <v>9</v>
      </c>
      <c r="AY59" s="170">
        <v>9</v>
      </c>
      <c r="AZ59" s="170">
        <v>22.5</v>
      </c>
      <c r="BA59" s="179"/>
      <c r="BB59" s="179"/>
      <c r="BC59" s="172">
        <f t="shared" ca="1" si="66"/>
        <v>38.965555555555568</v>
      </c>
      <c r="BD59" s="173">
        <f t="shared" ca="1" si="81"/>
        <v>8.3497619047619072</v>
      </c>
      <c r="BE59" s="173">
        <f t="shared" ca="1" si="81"/>
        <v>8.3497619047619072</v>
      </c>
      <c r="BF59" s="173">
        <f t="shared" ca="1" si="81"/>
        <v>22.26603174603175</v>
      </c>
      <c r="BG59" s="180"/>
      <c r="BH59" s="180"/>
      <c r="BI59" s="166">
        <f t="shared" ca="1" si="69"/>
        <v>48.700273504273504</v>
      </c>
      <c r="BJ59" s="167">
        <f t="shared" ca="1" si="82"/>
        <v>10.435772893772894</v>
      </c>
      <c r="BK59" s="167">
        <f t="shared" ca="1" si="83"/>
        <v>10.435772893772894</v>
      </c>
      <c r="BL59" s="167">
        <f t="shared" ca="1" si="84"/>
        <v>27.828727716727716</v>
      </c>
      <c r="BM59" s="178"/>
      <c r="BN59" s="178"/>
      <c r="BO59" s="169">
        <f t="shared" ca="1" si="72"/>
        <v>54.202041025641023</v>
      </c>
      <c r="BP59" s="170">
        <f ca="1">INDEX('Cap based on indoor unit SZ'!$V$43:$V$58,MATCH(AE59,'Cap based on indoor unit SZ'!$U$43:$U$58))</f>
        <v>11.956020512820512</v>
      </c>
      <c r="BQ59" s="170">
        <f ca="1">INDEX('Cap based on indoor unit SZ'!$V$43:$V$58,MATCH(AF59,'Cap based on indoor unit SZ'!$U$43:$U$58))</f>
        <v>11.956020512820512</v>
      </c>
      <c r="BR59" s="170">
        <f ca="1">INDEX('Cap based on indoor unit SZ'!$V$43:$V$58,MATCH(AG59,'Cap based on indoor unit SZ'!$U$43:$U$58))</f>
        <v>30.290000000000003</v>
      </c>
      <c r="BS59" s="179"/>
      <c r="BT59" s="179"/>
      <c r="BU59" s="175">
        <v>9500</v>
      </c>
      <c r="BV59" s="175">
        <v>9500</v>
      </c>
      <c r="BW59" s="175">
        <v>23500</v>
      </c>
      <c r="BX59" s="179"/>
      <c r="BY59" s="179"/>
      <c r="BZ59" s="172">
        <f t="shared" ca="1" si="73"/>
        <v>48.700273504273504</v>
      </c>
      <c r="CA59" s="173">
        <f t="shared" ca="1" si="85"/>
        <v>10.435772893772894</v>
      </c>
      <c r="CB59" s="173">
        <f t="shared" ca="1" si="86"/>
        <v>10.435772893772894</v>
      </c>
      <c r="CC59" s="173">
        <f t="shared" ca="1" si="87"/>
        <v>27.828727716727716</v>
      </c>
      <c r="CD59" s="180"/>
      <c r="CE59" s="180"/>
      <c r="CF59" s="166">
        <f t="shared" ca="1" si="76"/>
        <v>28.706992952280022</v>
      </c>
      <c r="CG59" s="167">
        <f t="shared" ca="1" si="77"/>
        <v>6.1514984897742906</v>
      </c>
      <c r="CH59" s="167">
        <f t="shared" ca="1" si="77"/>
        <v>6.1514984897742906</v>
      </c>
      <c r="CI59" s="167">
        <f t="shared" ca="1" si="77"/>
        <v>16.40399597273144</v>
      </c>
      <c r="CJ59" s="178"/>
      <c r="CK59" s="178"/>
    </row>
    <row r="60" spans="2:89">
      <c r="B60" s="283">
        <v>36</v>
      </c>
      <c r="C60" s="284">
        <v>75.2</v>
      </c>
      <c r="D60" s="284">
        <v>62.6</v>
      </c>
      <c r="E60" s="8" t="s">
        <v>16</v>
      </c>
      <c r="F60" s="8">
        <v>28.29</v>
      </c>
      <c r="G60" s="19">
        <v>28.83</v>
      </c>
      <c r="H60" s="19">
        <v>28.5</v>
      </c>
      <c r="I60" s="19">
        <v>29.02</v>
      </c>
      <c r="J60" s="19">
        <v>29.31</v>
      </c>
      <c r="K60" s="19">
        <v>31.73</v>
      </c>
      <c r="L60" s="2">
        <v>34.590000000000003</v>
      </c>
      <c r="M60" s="2">
        <v>31.95</v>
      </c>
      <c r="N60" s="2">
        <v>30.11</v>
      </c>
      <c r="O60" s="2">
        <v>25.53</v>
      </c>
      <c r="P60" s="2">
        <v>26.08</v>
      </c>
      <c r="Q60" s="2">
        <v>23.77</v>
      </c>
      <c r="R60" s="6"/>
      <c r="AC60" s="164" t="s">
        <v>176</v>
      </c>
      <c r="AD60" s="164">
        <v>36</v>
      </c>
      <c r="AE60" s="165">
        <v>9</v>
      </c>
      <c r="AF60" s="165">
        <v>12</v>
      </c>
      <c r="AG60" s="165">
        <v>12</v>
      </c>
      <c r="AH60" s="164"/>
      <c r="AI60" s="164"/>
      <c r="AJ60" s="501"/>
      <c r="AK60" s="166">
        <f t="shared" ca="1" si="61"/>
        <v>36.620888888888892</v>
      </c>
      <c r="AL60" s="167">
        <f t="shared" ca="1" si="78"/>
        <v>10.463111111111111</v>
      </c>
      <c r="AM60" s="167">
        <f t="shared" ca="1" si="79"/>
        <v>13.078888888888891</v>
      </c>
      <c r="AN60" s="167">
        <f t="shared" ca="1" si="80"/>
        <v>13.078888888888891</v>
      </c>
      <c r="AO60" s="178"/>
      <c r="AP60" s="178"/>
      <c r="AQ60" s="169">
        <f t="shared" ca="1" si="64"/>
        <v>36.620888888888892</v>
      </c>
      <c r="AR60" s="170">
        <f ca="1">INDEX('Cap based on indoor unit SZ'!$J$6:$J$21,MATCH(AE60,'Cap based on indoor unit SZ'!$I$6:$I$21))</f>
        <v>10.463111111111111</v>
      </c>
      <c r="AS60" s="170">
        <f ca="1">INDEX('Cap based on indoor unit SZ'!$J$6:$J$21,MATCH(AF60,'Cap based on indoor unit SZ'!$I$6:$I$21))</f>
        <v>13.078888888888891</v>
      </c>
      <c r="AT60" s="170">
        <f ca="1">INDEX('Cap based on indoor unit SZ'!$J$6:$J$21,MATCH(AG60,'Cap based on indoor unit SZ'!$I$6:$I$21))</f>
        <v>13.078888888888891</v>
      </c>
      <c r="AU60" s="179"/>
      <c r="AV60" s="179"/>
      <c r="AW60" s="169">
        <f t="shared" si="65"/>
        <v>34.5</v>
      </c>
      <c r="AX60" s="170">
        <v>9.5</v>
      </c>
      <c r="AY60" s="170">
        <v>12.5</v>
      </c>
      <c r="AZ60" s="170">
        <v>12.5</v>
      </c>
      <c r="BA60" s="179"/>
      <c r="BB60" s="179"/>
      <c r="BC60" s="172">
        <f t="shared" ca="1" si="66"/>
        <v>38.965555555555568</v>
      </c>
      <c r="BD60" s="173">
        <f t="shared" ca="1" si="81"/>
        <v>10.626969696969701</v>
      </c>
      <c r="BE60" s="173">
        <f t="shared" ca="1" si="81"/>
        <v>14.169292929292933</v>
      </c>
      <c r="BF60" s="173">
        <f t="shared" ca="1" si="81"/>
        <v>14.169292929292933</v>
      </c>
      <c r="BG60" s="180"/>
      <c r="BH60" s="180"/>
      <c r="BI60" s="166">
        <f t="shared" ca="1" si="69"/>
        <v>41.84607179487179</v>
      </c>
      <c r="BJ60" s="167">
        <f t="shared" ca="1" si="82"/>
        <v>11.956020512820512</v>
      </c>
      <c r="BK60" s="167">
        <f t="shared" ca="1" si="83"/>
        <v>14.945025641025641</v>
      </c>
      <c r="BL60" s="167">
        <f t="shared" ca="1" si="84"/>
        <v>14.945025641025641</v>
      </c>
      <c r="BM60" s="178"/>
      <c r="BN60" s="178"/>
      <c r="BO60" s="169">
        <f t="shared" ca="1" si="72"/>
        <v>41.84607179487179</v>
      </c>
      <c r="BP60" s="170">
        <f ca="1">INDEX('Cap based on indoor unit SZ'!$V$43:$V$58,MATCH(AE60,'Cap based on indoor unit SZ'!$U$43:$U$58))</f>
        <v>11.956020512820512</v>
      </c>
      <c r="BQ60" s="170">
        <f ca="1">INDEX('Cap based on indoor unit SZ'!$V$43:$V$58,MATCH(AF60,'Cap based on indoor unit SZ'!$U$43:$U$58))</f>
        <v>14.945025641025641</v>
      </c>
      <c r="BR60" s="170">
        <f ca="1">INDEX('Cap based on indoor unit SZ'!$V$43:$V$58,MATCH(AG60,'Cap based on indoor unit SZ'!$U$43:$U$58))</f>
        <v>14.945025641025641</v>
      </c>
      <c r="BS60" s="179"/>
      <c r="BT60" s="179"/>
      <c r="BU60" s="175">
        <v>10000</v>
      </c>
      <c r="BV60" s="175">
        <v>12500</v>
      </c>
      <c r="BW60" s="175">
        <v>12500</v>
      </c>
      <c r="BX60" s="179"/>
      <c r="BY60" s="179"/>
      <c r="BZ60" s="172">
        <f t="shared" ca="1" si="73"/>
        <v>48.700273504273511</v>
      </c>
      <c r="CA60" s="173">
        <f t="shared" ca="1" si="85"/>
        <v>13.281892773892775</v>
      </c>
      <c r="CB60" s="173">
        <f t="shared" ca="1" si="86"/>
        <v>17.709190365190366</v>
      </c>
      <c r="CC60" s="173">
        <f t="shared" ca="1" si="87"/>
        <v>17.709190365190366</v>
      </c>
      <c r="CD60" s="180"/>
      <c r="CE60" s="180"/>
      <c r="CF60" s="166">
        <f t="shared" ca="1" si="76"/>
        <v>26.979612743893654</v>
      </c>
      <c r="CG60" s="167">
        <f t="shared" ca="1" si="77"/>
        <v>7.7084607839696151</v>
      </c>
      <c r="CH60" s="167">
        <f t="shared" ca="1" si="77"/>
        <v>9.6355759799620202</v>
      </c>
      <c r="CI60" s="167">
        <f t="shared" ca="1" si="77"/>
        <v>9.6355759799620202</v>
      </c>
      <c r="CJ60" s="178"/>
      <c r="CK60" s="178"/>
    </row>
    <row r="61" spans="2:89">
      <c r="B61" s="283">
        <v>36</v>
      </c>
      <c r="C61" s="284">
        <v>80.599999999999994</v>
      </c>
      <c r="D61" s="284">
        <v>66.2</v>
      </c>
      <c r="E61" s="8" t="s">
        <v>16</v>
      </c>
      <c r="F61" s="8">
        <v>28.54</v>
      </c>
      <c r="G61" s="19">
        <v>29.09</v>
      </c>
      <c r="H61" s="19">
        <v>28.88</v>
      </c>
      <c r="I61" s="19">
        <v>29.44</v>
      </c>
      <c r="J61" s="19">
        <v>29.69</v>
      </c>
      <c r="K61" s="19">
        <v>30.02</v>
      </c>
      <c r="L61" s="2">
        <v>31.06</v>
      </c>
      <c r="M61" s="2">
        <v>29.98</v>
      </c>
      <c r="N61" s="2">
        <v>28.45</v>
      </c>
      <c r="O61" s="2">
        <v>25.78</v>
      </c>
      <c r="P61" s="2">
        <v>30.28</v>
      </c>
      <c r="Q61" s="2">
        <v>25.87</v>
      </c>
      <c r="R61" s="6"/>
      <c r="AC61" s="164" t="s">
        <v>175</v>
      </c>
      <c r="AD61" s="164">
        <v>36</v>
      </c>
      <c r="AE61" s="165">
        <v>9</v>
      </c>
      <c r="AF61" s="165">
        <v>12</v>
      </c>
      <c r="AG61" s="165">
        <v>18</v>
      </c>
      <c r="AH61" s="164"/>
      <c r="AI61" s="164"/>
      <c r="AJ61" s="501"/>
      <c r="AK61" s="166">
        <f t="shared" ca="1" si="61"/>
        <v>38.965555555555568</v>
      </c>
      <c r="AL61" s="167">
        <f t="shared" ca="1" si="78"/>
        <v>8.9920512820512837</v>
      </c>
      <c r="AM61" s="167">
        <f t="shared" ca="1" si="79"/>
        <v>11.989401709401712</v>
      </c>
      <c r="AN61" s="167">
        <f t="shared" ca="1" si="80"/>
        <v>17.984102564102567</v>
      </c>
      <c r="AO61" s="178"/>
      <c r="AP61" s="178"/>
      <c r="AQ61" s="169">
        <f t="shared" ca="1" si="64"/>
        <v>43.36311111111111</v>
      </c>
      <c r="AR61" s="170">
        <f ca="1">INDEX('Cap based on indoor unit SZ'!$J$6:$J$21,MATCH(AE61,'Cap based on indoor unit SZ'!$I$6:$I$21))</f>
        <v>10.463111111111111</v>
      </c>
      <c r="AS61" s="170">
        <f ca="1">INDEX('Cap based on indoor unit SZ'!$J$6:$J$21,MATCH(AF61,'Cap based on indoor unit SZ'!$I$6:$I$21))</f>
        <v>13.078888888888891</v>
      </c>
      <c r="AT61" s="170">
        <f ca="1">INDEX('Cap based on indoor unit SZ'!$J$6:$J$21,MATCH(AG61,'Cap based on indoor unit SZ'!$I$6:$I$21))</f>
        <v>19.821111111111112</v>
      </c>
      <c r="AU61" s="179"/>
      <c r="AV61" s="179"/>
      <c r="AW61" s="169">
        <f t="shared" si="65"/>
        <v>39</v>
      </c>
      <c r="AX61" s="170">
        <v>9</v>
      </c>
      <c r="AY61" s="170">
        <v>12</v>
      </c>
      <c r="AZ61" s="170">
        <v>18</v>
      </c>
      <c r="BA61" s="179"/>
      <c r="BB61" s="179"/>
      <c r="BC61" s="172">
        <f t="shared" ca="1" si="66"/>
        <v>38.965555555555568</v>
      </c>
      <c r="BD61" s="173">
        <f t="shared" ca="1" si="81"/>
        <v>8.9920512820512837</v>
      </c>
      <c r="BE61" s="173">
        <f t="shared" ca="1" si="81"/>
        <v>11.989401709401712</v>
      </c>
      <c r="BF61" s="173">
        <f t="shared" ca="1" si="81"/>
        <v>17.984102564102567</v>
      </c>
      <c r="BG61" s="180"/>
      <c r="BH61" s="180"/>
      <c r="BI61" s="166">
        <f t="shared" ca="1" si="69"/>
        <v>48.660599605522677</v>
      </c>
      <c r="BJ61" s="167">
        <f t="shared" ca="1" si="82"/>
        <v>11.238524654832347</v>
      </c>
      <c r="BK61" s="167">
        <f t="shared" ca="1" si="83"/>
        <v>14.945025641025641</v>
      </c>
      <c r="BL61" s="167">
        <f t="shared" ca="1" si="84"/>
        <v>22.477049309664693</v>
      </c>
      <c r="BM61" s="178"/>
      <c r="BN61" s="178"/>
      <c r="BO61" s="169">
        <f t="shared" ca="1" si="72"/>
        <v>51.499866666666662</v>
      </c>
      <c r="BP61" s="170">
        <f ca="1">INDEX('Cap based on indoor unit SZ'!$V$43:$V$58,MATCH(AE61,'Cap based on indoor unit SZ'!$U$43:$U$58))</f>
        <v>11.956020512820512</v>
      </c>
      <c r="BQ61" s="170">
        <f ca="1">INDEX('Cap based on indoor unit SZ'!$V$43:$V$58,MATCH(AF61,'Cap based on indoor unit SZ'!$U$43:$U$58))</f>
        <v>14.945025641025641</v>
      </c>
      <c r="BR61" s="170">
        <f ca="1">INDEX('Cap based on indoor unit SZ'!$V$43:$V$58,MATCH(AG61,'Cap based on indoor unit SZ'!$U$43:$U$58))</f>
        <v>24.598820512820513</v>
      </c>
      <c r="BS61" s="179"/>
      <c r="BT61" s="179"/>
      <c r="BU61" s="175">
        <v>9500</v>
      </c>
      <c r="BV61" s="175">
        <v>12500</v>
      </c>
      <c r="BW61" s="175">
        <v>18000</v>
      </c>
      <c r="BX61" s="179"/>
      <c r="BY61" s="179"/>
      <c r="BZ61" s="172">
        <f t="shared" ca="1" si="73"/>
        <v>48.700273504273497</v>
      </c>
      <c r="CA61" s="173">
        <f t="shared" ca="1" si="85"/>
        <v>11.238524654832347</v>
      </c>
      <c r="CB61" s="173">
        <f t="shared" ca="1" si="86"/>
        <v>14.984699539776461</v>
      </c>
      <c r="CC61" s="173">
        <f t="shared" ca="1" si="87"/>
        <v>22.477049309664693</v>
      </c>
      <c r="CD61" s="180"/>
      <c r="CE61" s="180"/>
      <c r="CF61" s="166">
        <f t="shared" ca="1" si="76"/>
        <v>28.706992952280018</v>
      </c>
      <c r="CG61" s="167">
        <f t="shared" ca="1" si="77"/>
        <v>6.6246906812953892</v>
      </c>
      <c r="CH61" s="167">
        <f t="shared" ca="1" si="77"/>
        <v>8.8329209083938522</v>
      </c>
      <c r="CI61" s="167">
        <f t="shared" ca="1" si="77"/>
        <v>13.249381362590778</v>
      </c>
      <c r="CJ61" s="178"/>
      <c r="CK61" s="178"/>
    </row>
    <row r="62" spans="2:89">
      <c r="B62" s="283">
        <v>36</v>
      </c>
      <c r="C62" s="284">
        <v>89.6</v>
      </c>
      <c r="D62" s="284">
        <v>73.400000000000006</v>
      </c>
      <c r="E62" s="8" t="s">
        <v>16</v>
      </c>
      <c r="F62" s="8">
        <v>31.68</v>
      </c>
      <c r="G62" s="19">
        <v>32.29</v>
      </c>
      <c r="H62" s="19">
        <v>32.049999999999997</v>
      </c>
      <c r="I62" s="19">
        <v>32.67</v>
      </c>
      <c r="J62" s="19">
        <v>32.96</v>
      </c>
      <c r="K62" s="19">
        <v>35.119999999999997</v>
      </c>
      <c r="L62" s="2">
        <v>38.130000000000003</v>
      </c>
      <c r="M62" s="2">
        <v>37.61</v>
      </c>
      <c r="N62" s="2">
        <v>37.340000000000003</v>
      </c>
      <c r="O62" s="2">
        <v>32.72</v>
      </c>
      <c r="P62" s="2">
        <v>31.93</v>
      </c>
      <c r="Q62" s="2">
        <v>27.19</v>
      </c>
      <c r="R62" s="6"/>
      <c r="AC62" s="164" t="s">
        <v>174</v>
      </c>
      <c r="AD62" s="164">
        <v>36</v>
      </c>
      <c r="AE62" s="165">
        <v>9</v>
      </c>
      <c r="AF62" s="165">
        <v>12</v>
      </c>
      <c r="AG62" s="165">
        <v>24</v>
      </c>
      <c r="AH62" s="164"/>
      <c r="AI62" s="164"/>
      <c r="AJ62" s="501"/>
      <c r="AK62" s="166">
        <f t="shared" ca="1" si="61"/>
        <v>38.965555555555554</v>
      </c>
      <c r="AL62" s="167">
        <f t="shared" ca="1" si="78"/>
        <v>7.793111111111112</v>
      </c>
      <c r="AM62" s="167">
        <f t="shared" ca="1" si="79"/>
        <v>10.390814814814815</v>
      </c>
      <c r="AN62" s="167">
        <f t="shared" ca="1" si="80"/>
        <v>20.781629629629631</v>
      </c>
      <c r="AO62" s="178"/>
      <c r="AP62" s="178"/>
      <c r="AQ62" s="169">
        <f t="shared" ca="1" si="64"/>
        <v>47.99422222222222</v>
      </c>
      <c r="AR62" s="170">
        <f ca="1">INDEX('Cap based on indoor unit SZ'!$J$6:$J$21,MATCH(AE62,'Cap based on indoor unit SZ'!$I$6:$I$21))</f>
        <v>10.463111111111111</v>
      </c>
      <c r="AS62" s="170">
        <f ca="1">INDEX('Cap based on indoor unit SZ'!$J$6:$J$21,MATCH(AF62,'Cap based on indoor unit SZ'!$I$6:$I$21))</f>
        <v>13.078888888888891</v>
      </c>
      <c r="AT62" s="170">
        <f ca="1">INDEX('Cap based on indoor unit SZ'!$J$6:$J$21,MATCH(AG62,'Cap based on indoor unit SZ'!$I$6:$I$21))</f>
        <v>24.452222222222218</v>
      </c>
      <c r="AU62" s="179"/>
      <c r="AV62" s="179"/>
      <c r="AW62" s="169">
        <f t="shared" si="65"/>
        <v>42.5</v>
      </c>
      <c r="AX62" s="170">
        <v>9</v>
      </c>
      <c r="AY62" s="170">
        <v>12</v>
      </c>
      <c r="AZ62" s="170">
        <v>21.5</v>
      </c>
      <c r="BA62" s="179"/>
      <c r="BB62" s="179"/>
      <c r="BC62" s="172">
        <f t="shared" ca="1" si="66"/>
        <v>38.965555555555554</v>
      </c>
      <c r="BD62" s="173">
        <f t="shared" ca="1" si="81"/>
        <v>7.793111111111112</v>
      </c>
      <c r="BE62" s="173">
        <f t="shared" ca="1" si="81"/>
        <v>10.390814814814815</v>
      </c>
      <c r="BF62" s="173">
        <f t="shared" ca="1" si="81"/>
        <v>20.781629629629631</v>
      </c>
      <c r="BG62" s="180"/>
      <c r="BH62" s="180"/>
      <c r="BI62" s="166">
        <f t="shared" ca="1" si="69"/>
        <v>48.700273504273497</v>
      </c>
      <c r="BJ62" s="167">
        <f t="shared" ca="1" si="82"/>
        <v>9.7400547008546994</v>
      </c>
      <c r="BK62" s="167">
        <f t="shared" ca="1" si="83"/>
        <v>12.986739601139599</v>
      </c>
      <c r="BL62" s="167">
        <f t="shared" ca="1" si="84"/>
        <v>25.973479202279197</v>
      </c>
      <c r="BM62" s="178"/>
      <c r="BN62" s="178"/>
      <c r="BO62" s="169">
        <f t="shared" ca="1" si="72"/>
        <v>57.191046153846159</v>
      </c>
      <c r="BP62" s="170">
        <f ca="1">INDEX('Cap based on indoor unit SZ'!$V$43:$V$58,MATCH(AE62,'Cap based on indoor unit SZ'!$U$43:$U$58))</f>
        <v>11.956020512820512</v>
      </c>
      <c r="BQ62" s="170">
        <f ca="1">INDEX('Cap based on indoor unit SZ'!$V$43:$V$58,MATCH(AF62,'Cap based on indoor unit SZ'!$U$43:$U$58))</f>
        <v>14.945025641025641</v>
      </c>
      <c r="BR62" s="170">
        <f ca="1">INDEX('Cap based on indoor unit SZ'!$V$43:$V$58,MATCH(AG62,'Cap based on indoor unit SZ'!$U$43:$U$58))</f>
        <v>30.290000000000003</v>
      </c>
      <c r="BS62" s="179"/>
      <c r="BT62" s="179"/>
      <c r="BU62" s="175">
        <v>9500</v>
      </c>
      <c r="BV62" s="175">
        <v>12500</v>
      </c>
      <c r="BW62" s="175">
        <v>22000</v>
      </c>
      <c r="BX62" s="179"/>
      <c r="BY62" s="179"/>
      <c r="BZ62" s="172">
        <f t="shared" ca="1" si="73"/>
        <v>48.700273504273497</v>
      </c>
      <c r="CA62" s="173">
        <f t="shared" ca="1" si="85"/>
        <v>9.7400547008546994</v>
      </c>
      <c r="CB62" s="173">
        <f t="shared" ca="1" si="86"/>
        <v>12.986739601139599</v>
      </c>
      <c r="CC62" s="173">
        <f t="shared" ca="1" si="87"/>
        <v>25.973479202279197</v>
      </c>
      <c r="CD62" s="180"/>
      <c r="CE62" s="180"/>
      <c r="CF62" s="166">
        <f t="shared" ca="1" si="76"/>
        <v>28.706992952280018</v>
      </c>
      <c r="CG62" s="167">
        <f t="shared" ca="1" si="77"/>
        <v>5.7413985904560034</v>
      </c>
      <c r="CH62" s="167">
        <f t="shared" ca="1" si="77"/>
        <v>7.6551981206080049</v>
      </c>
      <c r="CI62" s="167">
        <f t="shared" ca="1" si="77"/>
        <v>15.31039624121601</v>
      </c>
      <c r="CJ62" s="178"/>
      <c r="CK62" s="178"/>
    </row>
    <row r="63" spans="2:89">
      <c r="B63" s="284">
        <v>48</v>
      </c>
      <c r="C63" s="284">
        <v>69.8</v>
      </c>
      <c r="D63" s="284">
        <v>59</v>
      </c>
      <c r="E63" s="8" t="s">
        <v>16</v>
      </c>
      <c r="F63" s="8">
        <v>27.65</v>
      </c>
      <c r="G63" s="19">
        <v>28.18</v>
      </c>
      <c r="H63" s="19">
        <v>28.29</v>
      </c>
      <c r="I63" s="19">
        <v>28.61</v>
      </c>
      <c r="J63" s="19">
        <v>28.1</v>
      </c>
      <c r="K63" s="19">
        <v>29.91</v>
      </c>
      <c r="L63" s="2">
        <v>36.89</v>
      </c>
      <c r="M63" s="2">
        <v>35.46</v>
      </c>
      <c r="N63" s="2">
        <v>34.61</v>
      </c>
      <c r="O63" s="2">
        <v>30.86</v>
      </c>
      <c r="P63" s="2">
        <v>27.98</v>
      </c>
      <c r="Q63" s="2">
        <v>25.48</v>
      </c>
      <c r="R63" s="6"/>
      <c r="AC63" s="164" t="s">
        <v>173</v>
      </c>
      <c r="AD63" s="164">
        <v>36</v>
      </c>
      <c r="AE63" s="165">
        <v>9</v>
      </c>
      <c r="AF63" s="165">
        <v>18</v>
      </c>
      <c r="AG63" s="165">
        <v>18</v>
      </c>
      <c r="AH63" s="164"/>
      <c r="AI63" s="164"/>
      <c r="AJ63" s="501"/>
      <c r="AK63" s="166">
        <f t="shared" ca="1" si="61"/>
        <v>38.965555555555561</v>
      </c>
      <c r="AL63" s="167">
        <f t="shared" ca="1" si="78"/>
        <v>7.793111111111112</v>
      </c>
      <c r="AM63" s="167">
        <f t="shared" ca="1" si="79"/>
        <v>15.586222222222224</v>
      </c>
      <c r="AN63" s="167">
        <f t="shared" ca="1" si="80"/>
        <v>15.586222222222224</v>
      </c>
      <c r="AO63" s="178"/>
      <c r="AP63" s="178"/>
      <c r="AQ63" s="169">
        <f t="shared" ca="1" si="64"/>
        <v>50.105333333333334</v>
      </c>
      <c r="AR63" s="170">
        <f ca="1">INDEX('Cap based on indoor unit SZ'!$J$6:$J$21,MATCH(AE63,'Cap based on indoor unit SZ'!$I$6:$I$21))</f>
        <v>10.463111111111111</v>
      </c>
      <c r="AS63" s="170">
        <f ca="1">INDEX('Cap based on indoor unit SZ'!$J$6:$J$21,MATCH(AF63,'Cap based on indoor unit SZ'!$I$6:$I$21))</f>
        <v>19.821111111111112</v>
      </c>
      <c r="AT63" s="170">
        <f ca="1">INDEX('Cap based on indoor unit SZ'!$J$6:$J$21,MATCH(AG63,'Cap based on indoor unit SZ'!$I$6:$I$21))</f>
        <v>19.821111111111112</v>
      </c>
      <c r="AU63" s="179"/>
      <c r="AV63" s="179"/>
      <c r="AW63" s="169">
        <f t="shared" si="65"/>
        <v>45</v>
      </c>
      <c r="AX63" s="170">
        <v>9</v>
      </c>
      <c r="AY63" s="170">
        <v>18</v>
      </c>
      <c r="AZ63" s="170">
        <v>18</v>
      </c>
      <c r="BA63" s="179"/>
      <c r="BB63" s="179"/>
      <c r="BC63" s="172">
        <f t="shared" ca="1" si="66"/>
        <v>38.965555555555561</v>
      </c>
      <c r="BD63" s="173">
        <f t="shared" ca="1" si="81"/>
        <v>7.793111111111112</v>
      </c>
      <c r="BE63" s="173">
        <f t="shared" ca="1" si="81"/>
        <v>15.586222222222224</v>
      </c>
      <c r="BF63" s="173">
        <f t="shared" ca="1" si="81"/>
        <v>15.586222222222224</v>
      </c>
      <c r="BG63" s="180"/>
      <c r="BH63" s="180"/>
      <c r="BI63" s="166">
        <f t="shared" ca="1" si="69"/>
        <v>48.700273504273497</v>
      </c>
      <c r="BJ63" s="167">
        <f t="shared" ca="1" si="82"/>
        <v>9.7400547008546994</v>
      </c>
      <c r="BK63" s="167">
        <f t="shared" ca="1" si="83"/>
        <v>19.480109401709399</v>
      </c>
      <c r="BL63" s="167">
        <f t="shared" ca="1" si="84"/>
        <v>19.480109401709399</v>
      </c>
      <c r="BM63" s="178"/>
      <c r="BN63" s="178"/>
      <c r="BO63" s="169">
        <f t="shared" ca="1" si="72"/>
        <v>61.153661538461535</v>
      </c>
      <c r="BP63" s="170">
        <f ca="1">INDEX('Cap based on indoor unit SZ'!$V$43:$V$58,MATCH(AE63,'Cap based on indoor unit SZ'!$U$43:$U$58))</f>
        <v>11.956020512820512</v>
      </c>
      <c r="BQ63" s="170">
        <f ca="1">INDEX('Cap based on indoor unit SZ'!$V$43:$V$58,MATCH(AF63,'Cap based on indoor unit SZ'!$U$43:$U$58))</f>
        <v>24.598820512820513</v>
      </c>
      <c r="BR63" s="170">
        <f ca="1">INDEX('Cap based on indoor unit SZ'!$V$43:$V$58,MATCH(AG63,'Cap based on indoor unit SZ'!$U$43:$U$58))</f>
        <v>24.598820512820513</v>
      </c>
      <c r="BS63" s="179"/>
      <c r="BT63" s="179"/>
      <c r="BU63" s="175">
        <v>9500</v>
      </c>
      <c r="BV63" s="175">
        <v>18500</v>
      </c>
      <c r="BW63" s="175">
        <v>18500</v>
      </c>
      <c r="BX63" s="179"/>
      <c r="BY63" s="179"/>
      <c r="BZ63" s="172">
        <f t="shared" ca="1" si="73"/>
        <v>48.700273504273497</v>
      </c>
      <c r="CA63" s="173">
        <f t="shared" ca="1" si="85"/>
        <v>9.7400547008546994</v>
      </c>
      <c r="CB63" s="173">
        <f t="shared" ca="1" si="86"/>
        <v>19.480109401709399</v>
      </c>
      <c r="CC63" s="173">
        <f t="shared" ca="1" si="87"/>
        <v>19.480109401709399</v>
      </c>
      <c r="CD63" s="180"/>
      <c r="CE63" s="180"/>
      <c r="CF63" s="166">
        <f t="shared" ca="1" si="76"/>
        <v>28.706992952280018</v>
      </c>
      <c r="CG63" s="167">
        <f t="shared" ca="1" si="77"/>
        <v>5.7413985904560034</v>
      </c>
      <c r="CH63" s="167">
        <f t="shared" ca="1" si="77"/>
        <v>11.482797180912007</v>
      </c>
      <c r="CI63" s="167">
        <f t="shared" ca="1" si="77"/>
        <v>11.482797180912007</v>
      </c>
      <c r="CJ63" s="178"/>
      <c r="CK63" s="178"/>
    </row>
    <row r="64" spans="2:89">
      <c r="B64" s="284">
        <v>48</v>
      </c>
      <c r="C64" s="284">
        <v>75.2</v>
      </c>
      <c r="D64" s="284">
        <v>62.6</v>
      </c>
      <c r="E64" s="8" t="s">
        <v>16</v>
      </c>
      <c r="F64" s="8">
        <v>31.13</v>
      </c>
      <c r="G64" s="19">
        <v>31.73</v>
      </c>
      <c r="H64" s="19">
        <v>31.86</v>
      </c>
      <c r="I64" s="19">
        <v>32.22</v>
      </c>
      <c r="J64" s="19">
        <v>31.65</v>
      </c>
      <c r="K64" s="19">
        <v>34.07</v>
      </c>
      <c r="L64" s="2">
        <v>36.08</v>
      </c>
      <c r="M64" s="2">
        <v>35.26</v>
      </c>
      <c r="N64" s="2">
        <v>33.11</v>
      </c>
      <c r="O64" s="2">
        <v>30.54</v>
      </c>
      <c r="P64" s="2">
        <v>30.22</v>
      </c>
      <c r="Q64" s="2">
        <v>27.52</v>
      </c>
      <c r="R64" s="6"/>
      <c r="AC64" s="164" t="s">
        <v>172</v>
      </c>
      <c r="AD64" s="164">
        <v>36</v>
      </c>
      <c r="AE64" s="165">
        <v>9</v>
      </c>
      <c r="AF64" s="165">
        <v>18</v>
      </c>
      <c r="AG64" s="165">
        <v>24</v>
      </c>
      <c r="AH64" s="164"/>
      <c r="AI64" s="164"/>
      <c r="AJ64" s="501"/>
      <c r="AK64" s="166">
        <f t="shared" ca="1" si="61"/>
        <v>38.965555555555561</v>
      </c>
      <c r="AL64" s="167">
        <f t="shared" ca="1" si="78"/>
        <v>6.8762745098039231</v>
      </c>
      <c r="AM64" s="167">
        <f t="shared" ca="1" si="79"/>
        <v>13.752549019607846</v>
      </c>
      <c r="AN64" s="167">
        <f t="shared" ca="1" si="80"/>
        <v>18.336732026143792</v>
      </c>
      <c r="AO64" s="178"/>
      <c r="AP64" s="178"/>
      <c r="AQ64" s="169">
        <f t="shared" ca="1" si="64"/>
        <v>54.736444444444444</v>
      </c>
      <c r="AR64" s="170">
        <f ca="1">INDEX('Cap based on indoor unit SZ'!$J$6:$J$21,MATCH(AE64,'Cap based on indoor unit SZ'!$I$6:$I$21))</f>
        <v>10.463111111111111</v>
      </c>
      <c r="AS64" s="170">
        <f ca="1">INDEX('Cap based on indoor unit SZ'!$J$6:$J$21,MATCH(AF64,'Cap based on indoor unit SZ'!$I$6:$I$21))</f>
        <v>19.821111111111112</v>
      </c>
      <c r="AT64" s="170">
        <f ca="1">INDEX('Cap based on indoor unit SZ'!$J$6:$J$21,MATCH(AG64,'Cap based on indoor unit SZ'!$I$6:$I$21))</f>
        <v>24.452222222222218</v>
      </c>
      <c r="AU64" s="179"/>
      <c r="AV64" s="179"/>
      <c r="AW64" s="169">
        <f t="shared" si="65"/>
        <v>46</v>
      </c>
      <c r="AX64" s="170">
        <v>8.5</v>
      </c>
      <c r="AY64" s="170">
        <v>16</v>
      </c>
      <c r="AZ64" s="170">
        <v>21.5</v>
      </c>
      <c r="BA64" s="179"/>
      <c r="BB64" s="179"/>
      <c r="BC64" s="172">
        <f t="shared" ca="1" si="66"/>
        <v>38.965555555555561</v>
      </c>
      <c r="BD64" s="173">
        <f t="shared" ca="1" si="81"/>
        <v>6.8762745098039231</v>
      </c>
      <c r="BE64" s="173">
        <f t="shared" ca="1" si="81"/>
        <v>13.752549019607846</v>
      </c>
      <c r="BF64" s="173">
        <f t="shared" ca="1" si="81"/>
        <v>18.336732026143792</v>
      </c>
      <c r="BG64" s="180"/>
      <c r="BH64" s="180"/>
      <c r="BI64" s="166">
        <f t="shared" ca="1" si="69"/>
        <v>48.700273504273504</v>
      </c>
      <c r="BJ64" s="167">
        <f t="shared" ca="1" si="82"/>
        <v>8.5941659125188536</v>
      </c>
      <c r="BK64" s="167">
        <f t="shared" ca="1" si="83"/>
        <v>17.188331825037707</v>
      </c>
      <c r="BL64" s="167">
        <f t="shared" ca="1" si="84"/>
        <v>22.917775766716943</v>
      </c>
      <c r="BM64" s="178"/>
      <c r="BN64" s="178"/>
      <c r="BO64" s="169">
        <f t="shared" ca="1" si="72"/>
        <v>66.844841025641031</v>
      </c>
      <c r="BP64" s="170">
        <f ca="1">INDEX('Cap based on indoor unit SZ'!$V$43:$V$58,MATCH(AE64,'Cap based on indoor unit SZ'!$U$43:$U$58))</f>
        <v>11.956020512820512</v>
      </c>
      <c r="BQ64" s="170">
        <f ca="1">INDEX('Cap based on indoor unit SZ'!$V$43:$V$58,MATCH(AF64,'Cap based on indoor unit SZ'!$U$43:$U$58))</f>
        <v>24.598820512820513</v>
      </c>
      <c r="BR64" s="170">
        <f ca="1">INDEX('Cap based on indoor unit SZ'!$V$43:$V$58,MATCH(AG64,'Cap based on indoor unit SZ'!$U$43:$U$58))</f>
        <v>30.290000000000003</v>
      </c>
      <c r="BS64" s="179"/>
      <c r="BT64" s="179"/>
      <c r="BU64" s="175">
        <v>9000</v>
      </c>
      <c r="BV64" s="175">
        <v>17000</v>
      </c>
      <c r="BW64" s="175">
        <v>22000</v>
      </c>
      <c r="BX64" s="179"/>
      <c r="BY64" s="179"/>
      <c r="BZ64" s="172">
        <f t="shared" ca="1" si="73"/>
        <v>48.700273504273504</v>
      </c>
      <c r="CA64" s="173">
        <f t="shared" ca="1" si="85"/>
        <v>8.5941659125188536</v>
      </c>
      <c r="CB64" s="173">
        <f t="shared" ca="1" si="86"/>
        <v>17.188331825037707</v>
      </c>
      <c r="CC64" s="173">
        <f t="shared" ca="1" si="87"/>
        <v>22.917775766716943</v>
      </c>
      <c r="CD64" s="180"/>
      <c r="CE64" s="180"/>
      <c r="CF64" s="166">
        <f t="shared" ca="1" si="76"/>
        <v>28.706992952280018</v>
      </c>
      <c r="CG64" s="167">
        <f t="shared" ca="1" si="77"/>
        <v>5.0659399327552981</v>
      </c>
      <c r="CH64" s="167">
        <f t="shared" ca="1" si="77"/>
        <v>10.131879865510596</v>
      </c>
      <c r="CI64" s="167">
        <f t="shared" ca="1" si="77"/>
        <v>13.509173154014126</v>
      </c>
      <c r="CJ64" s="178"/>
      <c r="CK64" s="178"/>
    </row>
    <row r="65" spans="2:89">
      <c r="B65" s="284">
        <v>48</v>
      </c>
      <c r="C65" s="284">
        <v>80.599999999999994</v>
      </c>
      <c r="D65" s="284">
        <v>66.2</v>
      </c>
      <c r="E65" s="8" t="s">
        <v>16</v>
      </c>
      <c r="F65" s="8">
        <v>36.24</v>
      </c>
      <c r="G65" s="19">
        <v>36.93</v>
      </c>
      <c r="H65" s="19">
        <v>37.049999999999997</v>
      </c>
      <c r="I65" s="19">
        <v>37</v>
      </c>
      <c r="J65" s="19">
        <v>36.69</v>
      </c>
      <c r="K65" s="19">
        <v>36.79</v>
      </c>
      <c r="L65" s="2">
        <v>37.31</v>
      </c>
      <c r="M65" s="2">
        <v>36.229999999999997</v>
      </c>
      <c r="N65" s="2">
        <v>34.72</v>
      </c>
      <c r="O65" s="2">
        <v>36.299999999999997</v>
      </c>
      <c r="P65" s="2">
        <v>35.75</v>
      </c>
      <c r="Q65" s="2">
        <v>32.119999999999997</v>
      </c>
      <c r="R65" s="6"/>
      <c r="AC65" s="164" t="s">
        <v>171</v>
      </c>
      <c r="AD65" s="164">
        <v>36</v>
      </c>
      <c r="AE65" s="165">
        <v>9</v>
      </c>
      <c r="AF65" s="165">
        <v>24</v>
      </c>
      <c r="AG65" s="165">
        <v>24</v>
      </c>
      <c r="AH65" s="164"/>
      <c r="AI65" s="164"/>
      <c r="AJ65" s="501"/>
      <c r="AK65" s="166">
        <f t="shared" ca="1" si="61"/>
        <v>38.965555555555561</v>
      </c>
      <c r="AL65" s="167">
        <f t="shared" ca="1" si="78"/>
        <v>6.1524561403508784</v>
      </c>
      <c r="AM65" s="167">
        <f t="shared" ca="1" si="79"/>
        <v>16.406549707602341</v>
      </c>
      <c r="AN65" s="167">
        <f t="shared" ca="1" si="80"/>
        <v>16.406549707602341</v>
      </c>
      <c r="AO65" s="178"/>
      <c r="AP65" s="178"/>
      <c r="AQ65" s="169">
        <f t="shared" ca="1" si="64"/>
        <v>59.367555555555548</v>
      </c>
      <c r="AR65" s="170">
        <f ca="1">INDEX('Cap based on indoor unit SZ'!$J$6:$J$21,MATCH(AE65,'Cap based on indoor unit SZ'!$I$6:$I$21))</f>
        <v>10.463111111111111</v>
      </c>
      <c r="AS65" s="170">
        <f ca="1">INDEX('Cap based on indoor unit SZ'!$J$6:$J$21,MATCH(AF65,'Cap based on indoor unit SZ'!$I$6:$I$21))</f>
        <v>24.452222222222218</v>
      </c>
      <c r="AT65" s="170">
        <f ca="1">INDEX('Cap based on indoor unit SZ'!$J$6:$J$21,MATCH(AG65,'Cap based on indoor unit SZ'!$I$6:$I$21))</f>
        <v>24.452222222222218</v>
      </c>
      <c r="AU65" s="179"/>
      <c r="AV65" s="179"/>
      <c r="AW65" s="169">
        <f t="shared" si="65"/>
        <v>48</v>
      </c>
      <c r="AX65" s="170">
        <v>8</v>
      </c>
      <c r="AY65" s="170">
        <v>20</v>
      </c>
      <c r="AZ65" s="170">
        <v>20</v>
      </c>
      <c r="BA65" s="179"/>
      <c r="BB65" s="179"/>
      <c r="BC65" s="172">
        <f t="shared" ca="1" si="66"/>
        <v>38.965555555555561</v>
      </c>
      <c r="BD65" s="173">
        <f t="shared" ca="1" si="81"/>
        <v>6.1524561403508784</v>
      </c>
      <c r="BE65" s="173">
        <f t="shared" ca="1" si="81"/>
        <v>16.406549707602341</v>
      </c>
      <c r="BF65" s="173">
        <f t="shared" ca="1" si="81"/>
        <v>16.406549707602341</v>
      </c>
      <c r="BG65" s="180"/>
      <c r="BH65" s="180"/>
      <c r="BI65" s="166">
        <f t="shared" ca="1" si="69"/>
        <v>48.700273504273497</v>
      </c>
      <c r="BJ65" s="167">
        <f t="shared" ca="1" si="82"/>
        <v>7.689516869095816</v>
      </c>
      <c r="BK65" s="167">
        <f t="shared" ca="1" si="83"/>
        <v>20.505378317588843</v>
      </c>
      <c r="BL65" s="167">
        <f t="shared" ca="1" si="84"/>
        <v>20.505378317588843</v>
      </c>
      <c r="BM65" s="178"/>
      <c r="BN65" s="178"/>
      <c r="BO65" s="169">
        <f t="shared" ca="1" si="72"/>
        <v>72.536020512820514</v>
      </c>
      <c r="BP65" s="170">
        <f ca="1">INDEX('Cap based on indoor unit SZ'!$V$43:$V$58,MATCH(AE65,'Cap based on indoor unit SZ'!$U$43:$U$58))</f>
        <v>11.956020512820512</v>
      </c>
      <c r="BQ65" s="170">
        <f ca="1">INDEX('Cap based on indoor unit SZ'!$V$43:$V$58,MATCH(AF65,'Cap based on indoor unit SZ'!$U$43:$U$58))</f>
        <v>30.290000000000003</v>
      </c>
      <c r="BR65" s="170">
        <f ca="1">INDEX('Cap based on indoor unit SZ'!$V$43:$V$58,MATCH(AG65,'Cap based on indoor unit SZ'!$U$43:$U$58))</f>
        <v>30.290000000000003</v>
      </c>
      <c r="BS65" s="179"/>
      <c r="BT65" s="179"/>
      <c r="BU65" s="175">
        <v>8500</v>
      </c>
      <c r="BV65" s="175">
        <v>21000</v>
      </c>
      <c r="BW65" s="175">
        <v>21000</v>
      </c>
      <c r="BX65" s="179"/>
      <c r="BY65" s="179"/>
      <c r="BZ65" s="172">
        <f t="shared" ca="1" si="73"/>
        <v>48.700273504273497</v>
      </c>
      <c r="CA65" s="173">
        <f t="shared" ca="1" si="85"/>
        <v>7.689516869095816</v>
      </c>
      <c r="CB65" s="173">
        <f t="shared" ca="1" si="86"/>
        <v>20.505378317588843</v>
      </c>
      <c r="CC65" s="173">
        <f t="shared" ca="1" si="87"/>
        <v>20.505378317588843</v>
      </c>
      <c r="CD65" s="180"/>
      <c r="CE65" s="180"/>
      <c r="CF65" s="166">
        <f t="shared" ca="1" si="76"/>
        <v>28.706992952280018</v>
      </c>
      <c r="CG65" s="167">
        <f t="shared" ca="1" si="77"/>
        <v>4.532683097728424</v>
      </c>
      <c r="CH65" s="167">
        <f t="shared" ca="1" si="77"/>
        <v>12.087154927275797</v>
      </c>
      <c r="CI65" s="167">
        <f t="shared" ca="1" si="77"/>
        <v>12.087154927275797</v>
      </c>
      <c r="CJ65" s="178"/>
      <c r="CK65" s="178"/>
    </row>
    <row r="66" spans="2:89" ht="14.4" thickBot="1">
      <c r="B66" s="284">
        <v>48</v>
      </c>
      <c r="C66" s="284">
        <v>89.6</v>
      </c>
      <c r="D66" s="284">
        <v>73.400000000000006</v>
      </c>
      <c r="E66" s="8" t="s">
        <v>16</v>
      </c>
      <c r="F66" s="8">
        <v>40.22</v>
      </c>
      <c r="G66" s="19">
        <v>40.99</v>
      </c>
      <c r="H66" s="19">
        <v>41.13</v>
      </c>
      <c r="I66" s="19">
        <v>41.06</v>
      </c>
      <c r="J66" s="19">
        <v>40.72</v>
      </c>
      <c r="K66" s="19">
        <v>43.05</v>
      </c>
      <c r="L66" s="2">
        <v>45.8</v>
      </c>
      <c r="M66" s="2">
        <v>44.82</v>
      </c>
      <c r="N66" s="2">
        <v>43.74</v>
      </c>
      <c r="O66" s="2">
        <v>38.82</v>
      </c>
      <c r="P66" s="2">
        <v>38.39</v>
      </c>
      <c r="Q66" s="2">
        <v>33.76</v>
      </c>
      <c r="R66" s="6"/>
      <c r="AC66" s="164" t="s">
        <v>170</v>
      </c>
      <c r="AD66" s="164">
        <v>36</v>
      </c>
      <c r="AE66" s="165">
        <v>12</v>
      </c>
      <c r="AF66" s="165">
        <v>12</v>
      </c>
      <c r="AG66" s="165">
        <v>12</v>
      </c>
      <c r="AH66" s="164"/>
      <c r="AI66" s="164"/>
      <c r="AJ66" s="501"/>
      <c r="AK66" s="166">
        <f t="shared" ca="1" si="61"/>
        <v>38.965555555555561</v>
      </c>
      <c r="AL66" s="167">
        <f t="shared" ca="1" si="78"/>
        <v>12.98851851851852</v>
      </c>
      <c r="AM66" s="167">
        <f t="shared" ca="1" si="79"/>
        <v>12.98851851851852</v>
      </c>
      <c r="AN66" s="167">
        <f t="shared" ca="1" si="80"/>
        <v>12.98851851851852</v>
      </c>
      <c r="AO66" s="178"/>
      <c r="AP66" s="178"/>
      <c r="AQ66" s="169">
        <f t="shared" ca="1" si="64"/>
        <v>39.236666666666672</v>
      </c>
      <c r="AR66" s="170">
        <f ca="1">INDEX('Cap based on indoor unit SZ'!$J$6:$J$21,MATCH(AE66,'Cap based on indoor unit SZ'!$I$6:$I$21))</f>
        <v>13.078888888888891</v>
      </c>
      <c r="AS66" s="170">
        <f ca="1">INDEX('Cap based on indoor unit SZ'!$J$6:$J$21,MATCH(AF66,'Cap based on indoor unit SZ'!$I$6:$I$21))</f>
        <v>13.078888888888891</v>
      </c>
      <c r="AT66" s="170">
        <f ca="1">INDEX('Cap based on indoor unit SZ'!$J$6:$J$21,MATCH(AG66,'Cap based on indoor unit SZ'!$I$6:$I$21))</f>
        <v>13.078888888888891</v>
      </c>
      <c r="AU66" s="179"/>
      <c r="AV66" s="179"/>
      <c r="AW66" s="169">
        <f t="shared" si="65"/>
        <v>36</v>
      </c>
      <c r="AX66" s="170">
        <v>12</v>
      </c>
      <c r="AY66" s="170">
        <v>12</v>
      </c>
      <c r="AZ66" s="170">
        <v>12</v>
      </c>
      <c r="BA66" s="179"/>
      <c r="BB66" s="179"/>
      <c r="BC66" s="172">
        <f t="shared" ca="1" si="66"/>
        <v>38.965555555555561</v>
      </c>
      <c r="BD66" s="173">
        <f t="shared" ca="1" si="81"/>
        <v>12.98851851851852</v>
      </c>
      <c r="BE66" s="173">
        <f t="shared" ca="1" si="81"/>
        <v>12.98851851851852</v>
      </c>
      <c r="BF66" s="173">
        <f t="shared" ca="1" si="81"/>
        <v>12.98851851851852</v>
      </c>
      <c r="BG66" s="180"/>
      <c r="BH66" s="180"/>
      <c r="BI66" s="166">
        <f t="shared" ca="1" si="69"/>
        <v>44.835076923076926</v>
      </c>
      <c r="BJ66" s="167">
        <f t="shared" ca="1" si="82"/>
        <v>14.945025641025641</v>
      </c>
      <c r="BK66" s="167">
        <f t="shared" ca="1" si="83"/>
        <v>14.945025641025641</v>
      </c>
      <c r="BL66" s="167">
        <f t="shared" ca="1" si="84"/>
        <v>14.945025641025641</v>
      </c>
      <c r="BM66" s="178"/>
      <c r="BN66" s="178"/>
      <c r="BO66" s="169">
        <f t="shared" ca="1" si="72"/>
        <v>44.835076923076926</v>
      </c>
      <c r="BP66" s="170">
        <f ca="1">INDEX('Cap based on indoor unit SZ'!$V$43:$V$58,MATCH(AE66,'Cap based on indoor unit SZ'!$U$43:$U$58))</f>
        <v>14.945025641025641</v>
      </c>
      <c r="BQ66" s="170">
        <f ca="1">INDEX('Cap based on indoor unit SZ'!$V$43:$V$58,MATCH(AF66,'Cap based on indoor unit SZ'!$U$43:$U$58))</f>
        <v>14.945025641025641</v>
      </c>
      <c r="BR66" s="170">
        <f ca="1">INDEX('Cap based on indoor unit SZ'!$V$43:$V$58,MATCH(AG66,'Cap based on indoor unit SZ'!$U$43:$U$58))</f>
        <v>14.945025641025641</v>
      </c>
      <c r="BS66" s="179"/>
      <c r="BT66" s="179"/>
      <c r="BU66" s="175">
        <v>13000</v>
      </c>
      <c r="BV66" s="175">
        <v>13000</v>
      </c>
      <c r="BW66" s="175">
        <v>13000</v>
      </c>
      <c r="BX66" s="179"/>
      <c r="BY66" s="179"/>
      <c r="BZ66" s="172">
        <f t="shared" ca="1" si="73"/>
        <v>48.700273504273497</v>
      </c>
      <c r="CA66" s="173">
        <f t="shared" ca="1" si="85"/>
        <v>16.233424501424498</v>
      </c>
      <c r="CB66" s="173">
        <f t="shared" ca="1" si="86"/>
        <v>16.233424501424498</v>
      </c>
      <c r="CC66" s="173">
        <f t="shared" ca="1" si="87"/>
        <v>16.233424501424498</v>
      </c>
      <c r="CD66" s="180"/>
      <c r="CE66" s="180"/>
      <c r="CF66" s="166">
        <f t="shared" ca="1" si="76"/>
        <v>28.706992952280018</v>
      </c>
      <c r="CG66" s="167">
        <f t="shared" ca="1" si="77"/>
        <v>9.5689976507600054</v>
      </c>
      <c r="CH66" s="167">
        <f t="shared" ca="1" si="77"/>
        <v>9.5689976507600054</v>
      </c>
      <c r="CI66" s="167">
        <f t="shared" ca="1" si="77"/>
        <v>9.5689976507600054</v>
      </c>
      <c r="CJ66" s="178"/>
      <c r="CK66" s="178"/>
    </row>
    <row r="67" spans="2:89">
      <c r="B67" s="188">
        <v>18</v>
      </c>
      <c r="C67" s="189">
        <v>69.8</v>
      </c>
      <c r="D67" s="189">
        <v>59</v>
      </c>
      <c r="E67" s="190" t="s">
        <v>109</v>
      </c>
      <c r="F67" s="219">
        <f t="shared" ref="F67:Q82" si="88">F47/F27</f>
        <v>0.7</v>
      </c>
      <c r="G67" s="220">
        <f t="shared" si="88"/>
        <v>0.70026809651474542</v>
      </c>
      <c r="H67" s="220">
        <f t="shared" si="88"/>
        <v>0.69994574064026049</v>
      </c>
      <c r="I67" s="220">
        <f t="shared" si="88"/>
        <v>0.7002666666666667</v>
      </c>
      <c r="J67" s="220">
        <f t="shared" si="88"/>
        <v>0.70021186440677974</v>
      </c>
      <c r="K67" s="220">
        <f t="shared" si="88"/>
        <v>0.69979079497907948</v>
      </c>
      <c r="L67" s="219">
        <f t="shared" si="88"/>
        <v>0.74876604146100689</v>
      </c>
      <c r="M67" s="219">
        <f t="shared" si="88"/>
        <v>0.76015159718462366</v>
      </c>
      <c r="N67" s="219">
        <f t="shared" si="88"/>
        <v>0.79249848759830599</v>
      </c>
      <c r="O67" s="219">
        <f t="shared" si="88"/>
        <v>0.96719858156028371</v>
      </c>
      <c r="P67" s="219">
        <f t="shared" si="88"/>
        <v>0.96240601503759393</v>
      </c>
      <c r="Q67" s="221">
        <f t="shared" si="88"/>
        <v>0.98681541582150112</v>
      </c>
      <c r="R67" s="222">
        <f t="shared" ref="R67:R86" ca="1" si="89">FORECAST(Cool_Design_T,OFFSET(F67:Q67,0,MATCH(Cool_Design_T,$F$26:$Q$26,1)-1,1,2),OFFSET($F$26:$Q$26,0,MATCH(Cool_Design_T,$F$26:$Q$26,1)-1,1,2))</f>
        <v>0.79249848759830588</v>
      </c>
      <c r="S67" s="145"/>
      <c r="T67" s="145"/>
      <c r="U67" s="146" t="s">
        <v>96</v>
      </c>
      <c r="V67" s="150">
        <f ca="1">FORECAST(INDOOR_DB,OFFSET(R67:R70,MATCH(INDOOR_DB,C67:C70,1)-1,0,2),OFFSET(C67:C70,MATCH(INDOOR_DB,C67:C70,1)-1,0,2))</f>
        <v>0.72629783200827025</v>
      </c>
      <c r="W67" s="145">
        <f>B67</f>
        <v>18</v>
      </c>
      <c r="X67" s="150">
        <f ca="1">IF(OR(INDOOR_DB&lt;C67,INDOOR_DB&gt;C70),V69,V67)</f>
        <v>0.72629783200827025</v>
      </c>
      <c r="AC67" s="164" t="s">
        <v>169</v>
      </c>
      <c r="AD67" s="164">
        <v>36</v>
      </c>
      <c r="AE67" s="165">
        <v>12</v>
      </c>
      <c r="AF67" s="165">
        <v>12</v>
      </c>
      <c r="AG67" s="165">
        <v>18</v>
      </c>
      <c r="AH67" s="164"/>
      <c r="AI67" s="164"/>
      <c r="AJ67" s="501"/>
      <c r="AK67" s="166">
        <f t="shared" ca="1" si="61"/>
        <v>38.965555555555568</v>
      </c>
      <c r="AL67" s="167">
        <f t="shared" ca="1" si="78"/>
        <v>11.133015873015875</v>
      </c>
      <c r="AM67" s="167">
        <f t="shared" ca="1" si="79"/>
        <v>11.133015873015875</v>
      </c>
      <c r="AN67" s="167">
        <f t="shared" ca="1" si="80"/>
        <v>16.699523809523814</v>
      </c>
      <c r="AO67" s="178"/>
      <c r="AP67" s="178"/>
      <c r="AQ67" s="169">
        <f t="shared" ca="1" si="64"/>
        <v>45.978888888888889</v>
      </c>
      <c r="AR67" s="170">
        <f ca="1">INDEX('Cap based on indoor unit SZ'!$J$6:$J$21,MATCH(AE67,'Cap based on indoor unit SZ'!$I$6:$I$21))</f>
        <v>13.078888888888891</v>
      </c>
      <c r="AS67" s="170">
        <f ca="1">INDEX('Cap based on indoor unit SZ'!$J$6:$J$21,MATCH(AF67,'Cap based on indoor unit SZ'!$I$6:$I$21))</f>
        <v>13.078888888888891</v>
      </c>
      <c r="AT67" s="170">
        <f ca="1">INDEX('Cap based on indoor unit SZ'!$J$6:$J$21,MATCH(AG67,'Cap based on indoor unit SZ'!$I$6:$I$21))</f>
        <v>19.821111111111112</v>
      </c>
      <c r="AU67" s="179"/>
      <c r="AV67" s="179"/>
      <c r="AW67" s="169">
        <f t="shared" si="65"/>
        <v>41</v>
      </c>
      <c r="AX67" s="170">
        <v>12</v>
      </c>
      <c r="AY67" s="170">
        <v>12</v>
      </c>
      <c r="AZ67" s="170">
        <v>17</v>
      </c>
      <c r="BA67" s="179"/>
      <c r="BB67" s="179"/>
      <c r="BC67" s="172">
        <f t="shared" ca="1" si="66"/>
        <v>38.965555555555568</v>
      </c>
      <c r="BD67" s="173">
        <f t="shared" ca="1" si="81"/>
        <v>11.133015873015875</v>
      </c>
      <c r="BE67" s="173">
        <f t="shared" ca="1" si="81"/>
        <v>11.133015873015875</v>
      </c>
      <c r="BF67" s="173">
        <f t="shared" ca="1" si="81"/>
        <v>16.699523809523814</v>
      </c>
      <c r="BG67" s="180"/>
      <c r="BH67" s="180"/>
      <c r="BI67" s="166">
        <f t="shared" ca="1" si="69"/>
        <v>48.700273504273504</v>
      </c>
      <c r="BJ67" s="167">
        <f t="shared" ca="1" si="82"/>
        <v>13.914363858363858</v>
      </c>
      <c r="BK67" s="167">
        <f t="shared" ca="1" si="83"/>
        <v>13.914363858363858</v>
      </c>
      <c r="BL67" s="167">
        <f t="shared" ca="1" si="84"/>
        <v>20.871545787545788</v>
      </c>
      <c r="BM67" s="178"/>
      <c r="BN67" s="178"/>
      <c r="BO67" s="169">
        <f t="shared" ca="1" si="72"/>
        <v>54.488871794871798</v>
      </c>
      <c r="BP67" s="170">
        <f ca="1">INDEX('Cap based on indoor unit SZ'!$V$43:$V$58,MATCH(AE67,'Cap based on indoor unit SZ'!$U$43:$U$58))</f>
        <v>14.945025641025641</v>
      </c>
      <c r="BQ67" s="170">
        <f ca="1">INDEX('Cap based on indoor unit SZ'!$V$43:$V$58,MATCH(AF67,'Cap based on indoor unit SZ'!$U$43:$U$58))</f>
        <v>14.945025641025641</v>
      </c>
      <c r="BR67" s="170">
        <f ca="1">INDEX('Cap based on indoor unit SZ'!$V$43:$V$58,MATCH(AG67,'Cap based on indoor unit SZ'!$U$43:$U$58))</f>
        <v>24.598820512820513</v>
      </c>
      <c r="BS67" s="179"/>
      <c r="BT67" s="179"/>
      <c r="BU67" s="175">
        <v>12500</v>
      </c>
      <c r="BV67" s="175">
        <v>12500</v>
      </c>
      <c r="BW67" s="175">
        <v>18000</v>
      </c>
      <c r="BX67" s="179"/>
      <c r="BY67" s="179"/>
      <c r="BZ67" s="172">
        <f t="shared" ca="1" si="73"/>
        <v>48.700273504273504</v>
      </c>
      <c r="CA67" s="173">
        <f t="shared" ca="1" si="85"/>
        <v>13.914363858363858</v>
      </c>
      <c r="CB67" s="173">
        <f t="shared" ca="1" si="86"/>
        <v>13.914363858363858</v>
      </c>
      <c r="CC67" s="173">
        <f t="shared" ca="1" si="87"/>
        <v>20.871545787545788</v>
      </c>
      <c r="CD67" s="180"/>
      <c r="CE67" s="180"/>
      <c r="CF67" s="166">
        <f t="shared" ca="1" si="76"/>
        <v>28.706992952280022</v>
      </c>
      <c r="CG67" s="167">
        <f t="shared" ca="1" si="77"/>
        <v>8.2019979863657202</v>
      </c>
      <c r="CH67" s="167">
        <f t="shared" ca="1" si="77"/>
        <v>8.2019979863657202</v>
      </c>
      <c r="CI67" s="167">
        <f t="shared" ca="1" si="77"/>
        <v>12.302996979548581</v>
      </c>
      <c r="CJ67" s="178"/>
      <c r="CK67" s="178"/>
    </row>
    <row r="68" spans="2:89">
      <c r="B68" s="196">
        <v>18</v>
      </c>
      <c r="C68" s="197">
        <v>75.2</v>
      </c>
      <c r="D68" s="197">
        <v>62.6</v>
      </c>
      <c r="E68" s="198" t="s">
        <v>109</v>
      </c>
      <c r="F68" s="223">
        <f t="shared" si="88"/>
        <v>0.6998987854251012</v>
      </c>
      <c r="G68" s="224">
        <f t="shared" si="88"/>
        <v>0.70009930486593841</v>
      </c>
      <c r="H68" s="224">
        <f t="shared" si="88"/>
        <v>0.72010050251256286</v>
      </c>
      <c r="I68" s="224">
        <f t="shared" si="88"/>
        <v>0.74024691358024697</v>
      </c>
      <c r="J68" s="224">
        <f t="shared" si="88"/>
        <v>0.7498773908778813</v>
      </c>
      <c r="K68" s="224">
        <f t="shared" si="88"/>
        <v>0.75980629539951572</v>
      </c>
      <c r="L68" s="223">
        <f t="shared" si="88"/>
        <v>0.78016453382084094</v>
      </c>
      <c r="M68" s="223">
        <f t="shared" si="88"/>
        <v>0.78997493734335844</v>
      </c>
      <c r="N68" s="223">
        <f t="shared" si="88"/>
        <v>0.82016806722689073</v>
      </c>
      <c r="O68" s="223">
        <f t="shared" si="88"/>
        <v>0.88998357963875208</v>
      </c>
      <c r="P68" s="223">
        <f t="shared" si="88"/>
        <v>0.95039164490861616</v>
      </c>
      <c r="Q68" s="225">
        <f t="shared" si="88"/>
        <v>0.9802566633761105</v>
      </c>
      <c r="R68" s="226">
        <f t="shared" ca="1" si="89"/>
        <v>0.82016806722689073</v>
      </c>
      <c r="S68" s="145"/>
      <c r="T68" s="145"/>
      <c r="U68" s="146"/>
      <c r="V68" s="151"/>
      <c r="W68" s="145"/>
      <c r="X68" s="227"/>
      <c r="AC68" s="164" t="s">
        <v>168</v>
      </c>
      <c r="AD68" s="164">
        <v>36</v>
      </c>
      <c r="AE68" s="165">
        <v>12</v>
      </c>
      <c r="AF68" s="165">
        <v>12</v>
      </c>
      <c r="AG68" s="165">
        <v>24</v>
      </c>
      <c r="AH68" s="164"/>
      <c r="AI68" s="164"/>
      <c r="AJ68" s="501"/>
      <c r="AK68" s="166">
        <f t="shared" ca="1" si="61"/>
        <v>38.965555555555561</v>
      </c>
      <c r="AL68" s="167">
        <f t="shared" ca="1" si="78"/>
        <v>9.7413888888888902</v>
      </c>
      <c r="AM68" s="167">
        <f t="shared" ca="1" si="79"/>
        <v>9.7413888888888902</v>
      </c>
      <c r="AN68" s="167">
        <f t="shared" ca="1" si="80"/>
        <v>19.48277777777778</v>
      </c>
      <c r="AO68" s="178"/>
      <c r="AP68" s="178"/>
      <c r="AQ68" s="169">
        <f t="shared" ca="1" si="64"/>
        <v>50.61</v>
      </c>
      <c r="AR68" s="170">
        <f ca="1">INDEX('Cap based on indoor unit SZ'!$J$6:$J$21,MATCH(AE68,'Cap based on indoor unit SZ'!$I$6:$I$21))</f>
        <v>13.078888888888891</v>
      </c>
      <c r="AS68" s="170">
        <f ca="1">INDEX('Cap based on indoor unit SZ'!$J$6:$J$21,MATCH(AF68,'Cap based on indoor unit SZ'!$I$6:$I$21))</f>
        <v>13.078888888888891</v>
      </c>
      <c r="AT68" s="170">
        <f ca="1">INDEX('Cap based on indoor unit SZ'!$J$6:$J$21,MATCH(AG68,'Cap based on indoor unit SZ'!$I$6:$I$21))</f>
        <v>24.452222222222218</v>
      </c>
      <c r="AU68" s="179"/>
      <c r="AV68" s="179"/>
      <c r="AW68" s="169">
        <f t="shared" si="65"/>
        <v>44</v>
      </c>
      <c r="AX68" s="170">
        <v>11</v>
      </c>
      <c r="AY68" s="170">
        <v>11</v>
      </c>
      <c r="AZ68" s="170">
        <v>22</v>
      </c>
      <c r="BA68" s="179"/>
      <c r="BB68" s="179"/>
      <c r="BC68" s="172">
        <f t="shared" ca="1" si="66"/>
        <v>38.965555555555561</v>
      </c>
      <c r="BD68" s="173">
        <f t="shared" ca="1" si="81"/>
        <v>9.7413888888888902</v>
      </c>
      <c r="BE68" s="173">
        <f t="shared" ca="1" si="81"/>
        <v>9.7413888888888902</v>
      </c>
      <c r="BF68" s="173">
        <f t="shared" ca="1" si="81"/>
        <v>19.48277777777778</v>
      </c>
      <c r="BG68" s="180"/>
      <c r="BH68" s="180"/>
      <c r="BI68" s="166">
        <f t="shared" ca="1" si="69"/>
        <v>48.700273504273497</v>
      </c>
      <c r="BJ68" s="167">
        <f t="shared" ca="1" si="82"/>
        <v>12.175068376068374</v>
      </c>
      <c r="BK68" s="167">
        <f t="shared" ca="1" si="83"/>
        <v>12.175068376068374</v>
      </c>
      <c r="BL68" s="167">
        <f t="shared" ca="1" si="84"/>
        <v>24.350136752136748</v>
      </c>
      <c r="BM68" s="178"/>
      <c r="BN68" s="178"/>
      <c r="BO68" s="169">
        <f t="shared" ca="1" si="72"/>
        <v>60.180051282051281</v>
      </c>
      <c r="BP68" s="170">
        <f ca="1">INDEX('Cap based on indoor unit SZ'!$V$43:$V$58,MATCH(AE68,'Cap based on indoor unit SZ'!$U$43:$U$58))</f>
        <v>14.945025641025641</v>
      </c>
      <c r="BQ68" s="170">
        <f ca="1">INDEX('Cap based on indoor unit SZ'!$V$43:$V$58,MATCH(AF68,'Cap based on indoor unit SZ'!$U$43:$U$58))</f>
        <v>14.945025641025641</v>
      </c>
      <c r="BR68" s="170">
        <f ca="1">INDEX('Cap based on indoor unit SZ'!$V$43:$V$58,MATCH(AG68,'Cap based on indoor unit SZ'!$U$43:$U$58))</f>
        <v>30.290000000000003</v>
      </c>
      <c r="BS68" s="179"/>
      <c r="BT68" s="179"/>
      <c r="BU68" s="175">
        <v>11500</v>
      </c>
      <c r="BV68" s="175">
        <v>11500</v>
      </c>
      <c r="BW68" s="175">
        <v>23000</v>
      </c>
      <c r="BX68" s="179"/>
      <c r="BY68" s="179"/>
      <c r="BZ68" s="172">
        <f t="shared" ca="1" si="73"/>
        <v>48.700273504273497</v>
      </c>
      <c r="CA68" s="173">
        <f t="shared" ca="1" si="85"/>
        <v>12.175068376068374</v>
      </c>
      <c r="CB68" s="173">
        <f t="shared" ca="1" si="86"/>
        <v>12.175068376068374</v>
      </c>
      <c r="CC68" s="173">
        <f t="shared" ca="1" si="87"/>
        <v>24.350136752136748</v>
      </c>
      <c r="CD68" s="180"/>
      <c r="CE68" s="180"/>
      <c r="CF68" s="166">
        <f t="shared" ca="1" si="76"/>
        <v>28.706992952280018</v>
      </c>
      <c r="CG68" s="167">
        <f t="shared" ca="1" si="77"/>
        <v>7.1767482380700045</v>
      </c>
      <c r="CH68" s="167">
        <f t="shared" ca="1" si="77"/>
        <v>7.1767482380700045</v>
      </c>
      <c r="CI68" s="167">
        <f t="shared" ca="1" si="77"/>
        <v>14.353496476140009</v>
      </c>
      <c r="CJ68" s="178"/>
      <c r="CK68" s="178"/>
    </row>
    <row r="69" spans="2:89">
      <c r="B69" s="196">
        <v>18</v>
      </c>
      <c r="C69" s="197">
        <v>80.599999999999994</v>
      </c>
      <c r="D69" s="197">
        <v>66.2</v>
      </c>
      <c r="E69" s="198" t="s">
        <v>109</v>
      </c>
      <c r="F69" s="223">
        <f t="shared" si="88"/>
        <v>0.70009460737937557</v>
      </c>
      <c r="G69" s="224">
        <f t="shared" si="88"/>
        <v>0.70009285051067782</v>
      </c>
      <c r="H69" s="224">
        <f t="shared" si="88"/>
        <v>0.7001388246182324</v>
      </c>
      <c r="I69" s="224">
        <f t="shared" si="88"/>
        <v>0.69986168741355459</v>
      </c>
      <c r="J69" s="224">
        <f t="shared" si="88"/>
        <v>0.69990850869167431</v>
      </c>
      <c r="K69" s="224">
        <f t="shared" si="88"/>
        <v>0.69990933816863099</v>
      </c>
      <c r="L69" s="223">
        <f t="shared" si="88"/>
        <v>0.69991326973113621</v>
      </c>
      <c r="M69" s="223">
        <f t="shared" si="88"/>
        <v>0.70022883295194505</v>
      </c>
      <c r="N69" s="223">
        <f t="shared" si="88"/>
        <v>0.71456405260594247</v>
      </c>
      <c r="O69" s="223">
        <f t="shared" si="88"/>
        <v>0.88265306122448972</v>
      </c>
      <c r="P69" s="223">
        <f t="shared" si="88"/>
        <v>0.96712802768166084</v>
      </c>
      <c r="Q69" s="225">
        <f t="shared" si="88"/>
        <v>0.98868991517436389</v>
      </c>
      <c r="R69" s="226">
        <f t="shared" ca="1" si="89"/>
        <v>0.71456405260594247</v>
      </c>
      <c r="S69" s="145"/>
      <c r="T69" s="145"/>
      <c r="U69" s="146" t="s">
        <v>97</v>
      </c>
      <c r="V69" s="150">
        <f ca="1">TREND(R67:R70,C67:C70,INDOOR_DB)</f>
        <v>0.79945807929840862</v>
      </c>
      <c r="W69" s="145"/>
      <c r="X69" s="227"/>
      <c r="AC69" s="164" t="s">
        <v>167</v>
      </c>
      <c r="AD69" s="164">
        <v>36</v>
      </c>
      <c r="AE69" s="165">
        <v>12</v>
      </c>
      <c r="AF69" s="165">
        <v>18</v>
      </c>
      <c r="AG69" s="165">
        <v>18</v>
      </c>
      <c r="AH69" s="164"/>
      <c r="AI69" s="164"/>
      <c r="AJ69" s="501"/>
      <c r="AK69" s="166">
        <f t="shared" ca="1" si="61"/>
        <v>38.965555555555561</v>
      </c>
      <c r="AL69" s="167">
        <f t="shared" ca="1" si="78"/>
        <v>9.7413888888888902</v>
      </c>
      <c r="AM69" s="167">
        <f t="shared" ca="1" si="79"/>
        <v>14.612083333333336</v>
      </c>
      <c r="AN69" s="167">
        <f t="shared" ca="1" si="80"/>
        <v>14.612083333333336</v>
      </c>
      <c r="AO69" s="178"/>
      <c r="AP69" s="178"/>
      <c r="AQ69" s="169">
        <f t="shared" ca="1" si="64"/>
        <v>52.721111111111114</v>
      </c>
      <c r="AR69" s="170">
        <f ca="1">INDEX('Cap based on indoor unit SZ'!$J$6:$J$21,MATCH(AE69,'Cap based on indoor unit SZ'!$I$6:$I$21))</f>
        <v>13.078888888888891</v>
      </c>
      <c r="AS69" s="170">
        <f ca="1">INDEX('Cap based on indoor unit SZ'!$J$6:$J$21,MATCH(AF69,'Cap based on indoor unit SZ'!$I$6:$I$21))</f>
        <v>19.821111111111112</v>
      </c>
      <c r="AT69" s="170">
        <f ca="1">INDEX('Cap based on indoor unit SZ'!$J$6:$J$21,MATCH(AG69,'Cap based on indoor unit SZ'!$I$6:$I$21))</f>
        <v>19.821111111111112</v>
      </c>
      <c r="AU69" s="179"/>
      <c r="AV69" s="179"/>
      <c r="AW69" s="169">
        <f t="shared" si="65"/>
        <v>44</v>
      </c>
      <c r="AX69" s="170">
        <v>11</v>
      </c>
      <c r="AY69" s="170">
        <v>16.5</v>
      </c>
      <c r="AZ69" s="170">
        <v>16.5</v>
      </c>
      <c r="BA69" s="179"/>
      <c r="BB69" s="179"/>
      <c r="BC69" s="172">
        <f t="shared" ca="1" si="66"/>
        <v>38.965555555555561</v>
      </c>
      <c r="BD69" s="173">
        <f t="shared" ca="1" si="81"/>
        <v>9.7413888888888902</v>
      </c>
      <c r="BE69" s="173">
        <f t="shared" ca="1" si="81"/>
        <v>14.612083333333336</v>
      </c>
      <c r="BF69" s="173">
        <f t="shared" ca="1" si="81"/>
        <v>14.612083333333336</v>
      </c>
      <c r="BG69" s="180"/>
      <c r="BH69" s="180"/>
      <c r="BI69" s="166">
        <f t="shared" ca="1" si="69"/>
        <v>48.700273504273497</v>
      </c>
      <c r="BJ69" s="167">
        <f t="shared" ca="1" si="82"/>
        <v>12.175068376068374</v>
      </c>
      <c r="BK69" s="167">
        <f t="shared" ca="1" si="83"/>
        <v>18.262602564102561</v>
      </c>
      <c r="BL69" s="167">
        <f t="shared" ca="1" si="84"/>
        <v>18.262602564102561</v>
      </c>
      <c r="BM69" s="178"/>
      <c r="BN69" s="178"/>
      <c r="BO69" s="169">
        <f t="shared" ca="1" si="72"/>
        <v>64.14266666666667</v>
      </c>
      <c r="BP69" s="170">
        <f ca="1">INDEX('Cap based on indoor unit SZ'!$V$43:$V$58,MATCH(AE69,'Cap based on indoor unit SZ'!$U$43:$U$58))</f>
        <v>14.945025641025641</v>
      </c>
      <c r="BQ69" s="170">
        <f ca="1">INDEX('Cap based on indoor unit SZ'!$V$43:$V$58,MATCH(AF69,'Cap based on indoor unit SZ'!$U$43:$U$58))</f>
        <v>24.598820512820513</v>
      </c>
      <c r="BR69" s="170">
        <f ca="1">INDEX('Cap based on indoor unit SZ'!$V$43:$V$58,MATCH(AG69,'Cap based on indoor unit SZ'!$U$43:$U$58))</f>
        <v>24.598820512820513</v>
      </c>
      <c r="BS69" s="179"/>
      <c r="BT69" s="179"/>
      <c r="BU69" s="175">
        <v>11500</v>
      </c>
      <c r="BV69" s="175">
        <v>17000</v>
      </c>
      <c r="BW69" s="175">
        <v>17000</v>
      </c>
      <c r="BX69" s="179"/>
      <c r="BY69" s="179"/>
      <c r="BZ69" s="172">
        <f t="shared" ca="1" si="73"/>
        <v>48.700273504273497</v>
      </c>
      <c r="CA69" s="173">
        <f t="shared" ca="1" si="85"/>
        <v>12.175068376068374</v>
      </c>
      <c r="CB69" s="173">
        <f t="shared" ca="1" si="86"/>
        <v>18.262602564102561</v>
      </c>
      <c r="CC69" s="173">
        <f t="shared" ca="1" si="87"/>
        <v>18.262602564102561</v>
      </c>
      <c r="CD69" s="180"/>
      <c r="CE69" s="180"/>
      <c r="CF69" s="166">
        <f t="shared" ca="1" si="76"/>
        <v>28.706992952280018</v>
      </c>
      <c r="CG69" s="167">
        <f t="shared" ca="1" si="77"/>
        <v>7.1767482380700045</v>
      </c>
      <c r="CH69" s="167">
        <f t="shared" ca="1" si="77"/>
        <v>10.765122357105009</v>
      </c>
      <c r="CI69" s="167">
        <f t="shared" ca="1" si="77"/>
        <v>10.765122357105009</v>
      </c>
      <c r="CJ69" s="178"/>
      <c r="CK69" s="178"/>
    </row>
    <row r="70" spans="2:89" ht="14.4" thickBot="1">
      <c r="B70" s="204">
        <v>18</v>
      </c>
      <c r="C70" s="205">
        <v>89.6</v>
      </c>
      <c r="D70" s="205">
        <v>73.400000000000006</v>
      </c>
      <c r="E70" s="206" t="s">
        <v>109</v>
      </c>
      <c r="F70" s="228">
        <f t="shared" si="88"/>
        <v>0.71961805555555547</v>
      </c>
      <c r="G70" s="229">
        <f t="shared" si="88"/>
        <v>0.71976149914821119</v>
      </c>
      <c r="H70" s="229">
        <f t="shared" si="88"/>
        <v>0.73036093418259018</v>
      </c>
      <c r="I70" s="229">
        <f t="shared" si="88"/>
        <v>0.74027072758037227</v>
      </c>
      <c r="J70" s="229">
        <f t="shared" si="88"/>
        <v>0.74989509022240886</v>
      </c>
      <c r="K70" s="229">
        <f t="shared" si="88"/>
        <v>0.72972972972972971</v>
      </c>
      <c r="L70" s="228">
        <f t="shared" si="88"/>
        <v>0.81980906921241048</v>
      </c>
      <c r="M70" s="228">
        <f t="shared" si="88"/>
        <v>0.84005037783375325</v>
      </c>
      <c r="N70" s="228">
        <f t="shared" si="88"/>
        <v>0.85969615728328863</v>
      </c>
      <c r="O70" s="228">
        <f t="shared" si="88"/>
        <v>0.94046822742474923</v>
      </c>
      <c r="P70" s="228">
        <f t="shared" si="88"/>
        <v>0.96031746031746035</v>
      </c>
      <c r="Q70" s="230">
        <f t="shared" si="88"/>
        <v>0.98010380622837368</v>
      </c>
      <c r="R70" s="231">
        <f t="shared" ca="1" si="89"/>
        <v>0.85969615728328863</v>
      </c>
      <c r="S70" s="145"/>
      <c r="T70" s="145"/>
      <c r="U70" s="146"/>
      <c r="V70" s="151"/>
      <c r="W70" s="145"/>
      <c r="X70" s="227"/>
      <c r="AC70" s="164" t="s">
        <v>166</v>
      </c>
      <c r="AD70" s="164">
        <v>36</v>
      </c>
      <c r="AE70" s="165">
        <v>12</v>
      </c>
      <c r="AF70" s="165">
        <v>18</v>
      </c>
      <c r="AG70" s="165">
        <v>24</v>
      </c>
      <c r="AH70" s="164"/>
      <c r="AI70" s="164"/>
      <c r="AJ70" s="501"/>
      <c r="AK70" s="166">
        <f t="shared" ca="1" si="61"/>
        <v>38.965555555555561</v>
      </c>
      <c r="AL70" s="167">
        <f t="shared" ca="1" si="78"/>
        <v>8.6590123456790131</v>
      </c>
      <c r="AM70" s="167">
        <f t="shared" ca="1" si="79"/>
        <v>12.98851851851852</v>
      </c>
      <c r="AN70" s="167">
        <f t="shared" ca="1" si="80"/>
        <v>17.318024691358026</v>
      </c>
      <c r="AO70" s="178"/>
      <c r="AP70" s="178"/>
      <c r="AQ70" s="169">
        <f t="shared" ca="1" si="64"/>
        <v>57.352222222222224</v>
      </c>
      <c r="AR70" s="170">
        <f ca="1">INDEX('Cap based on indoor unit SZ'!$J$6:$J$21,MATCH(AE70,'Cap based on indoor unit SZ'!$I$6:$I$21))</f>
        <v>13.078888888888891</v>
      </c>
      <c r="AS70" s="170">
        <f ca="1">INDEX('Cap based on indoor unit SZ'!$J$6:$J$21,MATCH(AF70,'Cap based on indoor unit SZ'!$I$6:$I$21))</f>
        <v>19.821111111111112</v>
      </c>
      <c r="AT70" s="170">
        <f ca="1">INDEX('Cap based on indoor unit SZ'!$J$6:$J$21,MATCH(AG70,'Cap based on indoor unit SZ'!$I$6:$I$21))</f>
        <v>24.452222222222218</v>
      </c>
      <c r="AU70" s="179"/>
      <c r="AV70" s="179"/>
      <c r="AW70" s="169">
        <f t="shared" si="65"/>
        <v>47.5</v>
      </c>
      <c r="AX70" s="170">
        <v>10.5</v>
      </c>
      <c r="AY70" s="170">
        <v>15.5</v>
      </c>
      <c r="AZ70" s="170">
        <v>21.5</v>
      </c>
      <c r="BA70" s="179"/>
      <c r="BB70" s="179"/>
      <c r="BC70" s="172">
        <f t="shared" ca="1" si="66"/>
        <v>38.965555555555561</v>
      </c>
      <c r="BD70" s="173">
        <f t="shared" ca="1" si="81"/>
        <v>8.6590123456790131</v>
      </c>
      <c r="BE70" s="173">
        <f t="shared" ca="1" si="81"/>
        <v>12.98851851851852</v>
      </c>
      <c r="BF70" s="173">
        <f t="shared" ca="1" si="81"/>
        <v>17.318024691358026</v>
      </c>
      <c r="BG70" s="180"/>
      <c r="BH70" s="180"/>
      <c r="BI70" s="166">
        <f t="shared" ca="1" si="69"/>
        <v>48.70027350427349</v>
      </c>
      <c r="BJ70" s="167">
        <f t="shared" ca="1" si="82"/>
        <v>10.822283000949664</v>
      </c>
      <c r="BK70" s="167">
        <f t="shared" ca="1" si="83"/>
        <v>16.233424501424498</v>
      </c>
      <c r="BL70" s="167">
        <f t="shared" ca="1" si="84"/>
        <v>21.644566001899328</v>
      </c>
      <c r="BM70" s="178"/>
      <c r="BN70" s="178"/>
      <c r="BO70" s="169">
        <f t="shared" ca="1" si="72"/>
        <v>69.833846153846153</v>
      </c>
      <c r="BP70" s="170">
        <f ca="1">INDEX('Cap based on indoor unit SZ'!$V$43:$V$58,MATCH(AE70,'Cap based on indoor unit SZ'!$U$43:$U$58))</f>
        <v>14.945025641025641</v>
      </c>
      <c r="BQ70" s="170">
        <f ca="1">INDEX('Cap based on indoor unit SZ'!$V$43:$V$58,MATCH(AF70,'Cap based on indoor unit SZ'!$U$43:$U$58))</f>
        <v>24.598820512820513</v>
      </c>
      <c r="BR70" s="170">
        <f ca="1">INDEX('Cap based on indoor unit SZ'!$V$43:$V$58,MATCH(AG70,'Cap based on indoor unit SZ'!$U$43:$U$58))</f>
        <v>30.290000000000003</v>
      </c>
      <c r="BS70" s="179"/>
      <c r="BT70" s="179"/>
      <c r="BU70" s="175">
        <v>11000</v>
      </c>
      <c r="BV70" s="175">
        <v>16000</v>
      </c>
      <c r="BW70" s="175">
        <v>22000</v>
      </c>
      <c r="BX70" s="179"/>
      <c r="BY70" s="179"/>
      <c r="BZ70" s="172">
        <f t="shared" ca="1" si="73"/>
        <v>48.70027350427349</v>
      </c>
      <c r="CA70" s="173">
        <f t="shared" ca="1" si="85"/>
        <v>10.822283000949664</v>
      </c>
      <c r="CB70" s="173">
        <f t="shared" ca="1" si="86"/>
        <v>16.233424501424498</v>
      </c>
      <c r="CC70" s="173">
        <f t="shared" ca="1" si="87"/>
        <v>21.644566001899328</v>
      </c>
      <c r="CD70" s="180"/>
      <c r="CE70" s="180"/>
      <c r="CF70" s="166">
        <f t="shared" ca="1" si="76"/>
        <v>28.706992952280018</v>
      </c>
      <c r="CG70" s="167">
        <f t="shared" ca="1" si="77"/>
        <v>6.3793317671733369</v>
      </c>
      <c r="CH70" s="167">
        <f t="shared" ca="1" si="77"/>
        <v>9.5689976507600054</v>
      </c>
      <c r="CI70" s="167">
        <f t="shared" ca="1" si="77"/>
        <v>12.758663534346674</v>
      </c>
      <c r="CJ70" s="178"/>
      <c r="CK70" s="178"/>
    </row>
    <row r="71" spans="2:89">
      <c r="B71" s="188">
        <v>24</v>
      </c>
      <c r="C71" s="189">
        <v>69.8</v>
      </c>
      <c r="D71" s="189">
        <v>59</v>
      </c>
      <c r="E71" s="190" t="s">
        <v>109</v>
      </c>
      <c r="F71" s="219">
        <f t="shared" si="88"/>
        <v>0.70011106997408368</v>
      </c>
      <c r="G71" s="220">
        <f t="shared" si="88"/>
        <v>0.69996367598982923</v>
      </c>
      <c r="H71" s="220">
        <f t="shared" si="88"/>
        <v>0.69985412107950407</v>
      </c>
      <c r="I71" s="220">
        <f t="shared" si="88"/>
        <v>0.69992716678805533</v>
      </c>
      <c r="J71" s="220">
        <f t="shared" si="88"/>
        <v>0.69996327579875128</v>
      </c>
      <c r="K71" s="220">
        <f t="shared" si="88"/>
        <v>0.6999274310595065</v>
      </c>
      <c r="L71" s="219">
        <f t="shared" si="88"/>
        <v>0.7700554528650646</v>
      </c>
      <c r="M71" s="219">
        <f t="shared" si="88"/>
        <v>0.79024583663758929</v>
      </c>
      <c r="N71" s="219">
        <f t="shared" si="88"/>
        <v>0.83018867924528317</v>
      </c>
      <c r="O71" s="219">
        <f t="shared" si="88"/>
        <v>0.91017316017316019</v>
      </c>
      <c r="P71" s="219">
        <f t="shared" si="88"/>
        <v>0.98022249690976515</v>
      </c>
      <c r="Q71" s="221">
        <f t="shared" si="88"/>
        <v>0.99298737727910236</v>
      </c>
      <c r="R71" s="222">
        <f t="shared" ca="1" si="89"/>
        <v>0.83018867924528317</v>
      </c>
      <c r="S71" s="145"/>
      <c r="T71" s="145"/>
      <c r="U71" s="146" t="s">
        <v>96</v>
      </c>
      <c r="V71" s="150">
        <f ca="1">FORECAST(INDOOR_DB,OFFSET(R71:R74,MATCH(INDOOR_DB,C71:C74,1)-1,0,2),OFFSET(C71:C74,MATCH(INDOOR_DB,C71:C74,1)-1,0,2))</f>
        <v>0.74451409925415613</v>
      </c>
      <c r="W71" s="145">
        <f>B71</f>
        <v>24</v>
      </c>
      <c r="X71" s="150">
        <f ca="1">IF(OR(INDOOR_DB&lt;C71,INDOOR_DB&gt;C74),V73,V71)</f>
        <v>0.74451409925415613</v>
      </c>
      <c r="AC71" s="164" t="s">
        <v>165</v>
      </c>
      <c r="AD71" s="164">
        <v>36</v>
      </c>
      <c r="AE71" s="165">
        <v>12</v>
      </c>
      <c r="AF71" s="165">
        <v>24</v>
      </c>
      <c r="AG71" s="165">
        <v>24</v>
      </c>
      <c r="AH71" s="164"/>
      <c r="AI71" s="164"/>
      <c r="AJ71" s="501"/>
      <c r="AK71" s="166">
        <f t="shared" ca="1" si="61"/>
        <v>38.965555555555568</v>
      </c>
      <c r="AL71" s="167">
        <f t="shared" ca="1" si="78"/>
        <v>7.7931111111111129</v>
      </c>
      <c r="AM71" s="167">
        <f t="shared" ca="1" si="79"/>
        <v>15.586222222222226</v>
      </c>
      <c r="AN71" s="167">
        <f t="shared" ca="1" si="80"/>
        <v>15.586222222222226</v>
      </c>
      <c r="AO71" s="178"/>
      <c r="AP71" s="178"/>
      <c r="AQ71" s="169">
        <f t="shared" ca="1" si="64"/>
        <v>61.983333333333327</v>
      </c>
      <c r="AR71" s="170">
        <f ca="1">INDEX('Cap based on indoor unit SZ'!$J$6:$J$21,MATCH(AE71,'Cap based on indoor unit SZ'!$I$6:$I$21))</f>
        <v>13.078888888888891</v>
      </c>
      <c r="AS71" s="170">
        <f ca="1">INDEX('Cap based on indoor unit SZ'!$J$6:$J$21,MATCH(AF71,'Cap based on indoor unit SZ'!$I$6:$I$21))</f>
        <v>24.452222222222218</v>
      </c>
      <c r="AT71" s="170">
        <f ca="1">INDEX('Cap based on indoor unit SZ'!$J$6:$J$21,MATCH(AG71,'Cap based on indoor unit SZ'!$I$6:$I$21))</f>
        <v>24.452222222222218</v>
      </c>
      <c r="AU71" s="179"/>
      <c r="AV71" s="179"/>
      <c r="AW71" s="169">
        <f t="shared" si="65"/>
        <v>50</v>
      </c>
      <c r="AX71" s="170">
        <v>10</v>
      </c>
      <c r="AY71" s="170">
        <v>20</v>
      </c>
      <c r="AZ71" s="170">
        <v>20</v>
      </c>
      <c r="BA71" s="179"/>
      <c r="BB71" s="179"/>
      <c r="BC71" s="172">
        <f t="shared" ca="1" si="66"/>
        <v>38.965555555555568</v>
      </c>
      <c r="BD71" s="173">
        <f t="shared" ca="1" si="81"/>
        <v>7.7931111111111129</v>
      </c>
      <c r="BE71" s="173">
        <f t="shared" ca="1" si="81"/>
        <v>15.586222222222226</v>
      </c>
      <c r="BF71" s="173">
        <f t="shared" ca="1" si="81"/>
        <v>15.586222222222226</v>
      </c>
      <c r="BG71" s="180"/>
      <c r="BH71" s="180"/>
      <c r="BI71" s="166">
        <f t="shared" ca="1" si="69"/>
        <v>48.700273504273497</v>
      </c>
      <c r="BJ71" s="167">
        <f t="shared" ca="1" si="82"/>
        <v>9.7400547008546994</v>
      </c>
      <c r="BK71" s="167">
        <f t="shared" ca="1" si="83"/>
        <v>19.480109401709399</v>
      </c>
      <c r="BL71" s="167">
        <f t="shared" ca="1" si="84"/>
        <v>19.480109401709399</v>
      </c>
      <c r="BM71" s="178"/>
      <c r="BN71" s="178"/>
      <c r="BO71" s="169">
        <f t="shared" ca="1" si="72"/>
        <v>75.52502564102565</v>
      </c>
      <c r="BP71" s="170">
        <f ca="1">INDEX('Cap based on indoor unit SZ'!$V$43:$V$58,MATCH(AE71,'Cap based on indoor unit SZ'!$U$43:$U$58))</f>
        <v>14.945025641025641</v>
      </c>
      <c r="BQ71" s="170">
        <f ca="1">INDEX('Cap based on indoor unit SZ'!$V$43:$V$58,MATCH(AF71,'Cap based on indoor unit SZ'!$U$43:$U$58))</f>
        <v>30.290000000000003</v>
      </c>
      <c r="BR71" s="170">
        <f ca="1">INDEX('Cap based on indoor unit SZ'!$V$43:$V$58,MATCH(AG71,'Cap based on indoor unit SZ'!$U$43:$U$58))</f>
        <v>30.290000000000003</v>
      </c>
      <c r="BS71" s="179"/>
      <c r="BT71" s="179"/>
      <c r="BU71" s="175">
        <v>11000</v>
      </c>
      <c r="BV71" s="175">
        <v>20500</v>
      </c>
      <c r="BW71" s="175">
        <v>20500</v>
      </c>
      <c r="BX71" s="179"/>
      <c r="BY71" s="179"/>
      <c r="BZ71" s="172">
        <f t="shared" ca="1" si="73"/>
        <v>48.700273504273497</v>
      </c>
      <c r="CA71" s="173">
        <f t="shared" ca="1" si="85"/>
        <v>9.7400547008546994</v>
      </c>
      <c r="CB71" s="173">
        <f t="shared" ca="1" si="86"/>
        <v>19.480109401709399</v>
      </c>
      <c r="CC71" s="173">
        <f t="shared" ca="1" si="87"/>
        <v>19.480109401709399</v>
      </c>
      <c r="CD71" s="180"/>
      <c r="CE71" s="180"/>
      <c r="CF71" s="166">
        <f t="shared" ca="1" si="76"/>
        <v>28.706992952280022</v>
      </c>
      <c r="CG71" s="167">
        <f t="shared" ca="1" si="77"/>
        <v>5.7413985904560043</v>
      </c>
      <c r="CH71" s="167">
        <f t="shared" ca="1" si="77"/>
        <v>11.482797180912009</v>
      </c>
      <c r="CI71" s="167">
        <f t="shared" ca="1" si="77"/>
        <v>11.482797180912009</v>
      </c>
      <c r="CJ71" s="178"/>
      <c r="CK71" s="178"/>
    </row>
    <row r="72" spans="2:89">
      <c r="B72" s="196">
        <v>24</v>
      </c>
      <c r="C72" s="197">
        <v>75.2</v>
      </c>
      <c r="D72" s="197">
        <v>62.6</v>
      </c>
      <c r="E72" s="198" t="s">
        <v>109</v>
      </c>
      <c r="F72" s="223">
        <f t="shared" si="88"/>
        <v>0.70003428179636618</v>
      </c>
      <c r="G72" s="224">
        <f t="shared" si="88"/>
        <v>0.69996636394214595</v>
      </c>
      <c r="H72" s="224">
        <f t="shared" si="88"/>
        <v>0.70010131712259371</v>
      </c>
      <c r="I72" s="224">
        <f t="shared" si="88"/>
        <v>0.69993256911665547</v>
      </c>
      <c r="J72" s="224">
        <f t="shared" si="88"/>
        <v>0.70010200612036722</v>
      </c>
      <c r="K72" s="224">
        <f t="shared" si="88"/>
        <v>0.70026881720430101</v>
      </c>
      <c r="L72" s="223">
        <f t="shared" si="88"/>
        <v>0.75008558712769602</v>
      </c>
      <c r="M72" s="223">
        <f t="shared" si="88"/>
        <v>0.81975036710719529</v>
      </c>
      <c r="N72" s="223">
        <f t="shared" si="88"/>
        <v>0.86021942299878107</v>
      </c>
      <c r="O72" s="223">
        <f t="shared" si="88"/>
        <v>0.8997995991983968</v>
      </c>
      <c r="P72" s="223">
        <f t="shared" si="88"/>
        <v>0.95020034344590742</v>
      </c>
      <c r="Q72" s="225">
        <f t="shared" si="88"/>
        <v>0.99025974025974028</v>
      </c>
      <c r="R72" s="226">
        <f t="shared" ca="1" si="89"/>
        <v>0.86021942299878107</v>
      </c>
      <c r="S72" s="145"/>
      <c r="T72" s="145"/>
      <c r="U72" s="146"/>
      <c r="V72" s="151"/>
      <c r="W72" s="145"/>
      <c r="X72" s="227"/>
      <c r="AC72" s="164" t="s">
        <v>164</v>
      </c>
      <c r="AD72" s="164">
        <v>36</v>
      </c>
      <c r="AE72" s="165">
        <v>18</v>
      </c>
      <c r="AF72" s="165">
        <v>18</v>
      </c>
      <c r="AG72" s="165">
        <v>18</v>
      </c>
      <c r="AH72" s="164"/>
      <c r="AI72" s="164"/>
      <c r="AJ72" s="501"/>
      <c r="AK72" s="166">
        <f t="shared" ca="1" si="61"/>
        <v>38.965555555555561</v>
      </c>
      <c r="AL72" s="167">
        <f t="shared" ca="1" si="78"/>
        <v>12.98851851851852</v>
      </c>
      <c r="AM72" s="167">
        <f t="shared" ca="1" si="79"/>
        <v>12.98851851851852</v>
      </c>
      <c r="AN72" s="167">
        <f t="shared" ca="1" si="80"/>
        <v>12.98851851851852</v>
      </c>
      <c r="AO72" s="178"/>
      <c r="AP72" s="178"/>
      <c r="AQ72" s="169">
        <f t="shared" ca="1" si="64"/>
        <v>59.463333333333338</v>
      </c>
      <c r="AR72" s="170">
        <f ca="1">INDEX('Cap based on indoor unit SZ'!$J$6:$J$21,MATCH(AE72,'Cap based on indoor unit SZ'!$I$6:$I$21))</f>
        <v>19.821111111111112</v>
      </c>
      <c r="AS72" s="170">
        <f ca="1">INDEX('Cap based on indoor unit SZ'!$J$6:$J$21,MATCH(AF72,'Cap based on indoor unit SZ'!$I$6:$I$21))</f>
        <v>19.821111111111112</v>
      </c>
      <c r="AT72" s="170">
        <f ca="1">INDEX('Cap based on indoor unit SZ'!$J$6:$J$21,MATCH(AG72,'Cap based on indoor unit SZ'!$I$6:$I$21))</f>
        <v>19.821111111111112</v>
      </c>
      <c r="AU72" s="179"/>
      <c r="AV72" s="179"/>
      <c r="AW72" s="169">
        <f t="shared" si="65"/>
        <v>48</v>
      </c>
      <c r="AX72" s="170">
        <v>16</v>
      </c>
      <c r="AY72" s="170">
        <v>16</v>
      </c>
      <c r="AZ72" s="170">
        <v>16</v>
      </c>
      <c r="BA72" s="179"/>
      <c r="BB72" s="179"/>
      <c r="BC72" s="172">
        <f t="shared" ca="1" si="66"/>
        <v>38.965555555555561</v>
      </c>
      <c r="BD72" s="173">
        <f t="shared" ca="1" si="81"/>
        <v>12.98851851851852</v>
      </c>
      <c r="BE72" s="173">
        <f t="shared" ca="1" si="81"/>
        <v>12.98851851851852</v>
      </c>
      <c r="BF72" s="173">
        <f t="shared" ca="1" si="81"/>
        <v>12.98851851851852</v>
      </c>
      <c r="BG72" s="180"/>
      <c r="BH72" s="180"/>
      <c r="BI72" s="166">
        <f t="shared" ca="1" si="69"/>
        <v>48.700273504273497</v>
      </c>
      <c r="BJ72" s="167">
        <f t="shared" ca="1" si="82"/>
        <v>16.233424501424498</v>
      </c>
      <c r="BK72" s="167">
        <f t="shared" ca="1" si="83"/>
        <v>16.233424501424498</v>
      </c>
      <c r="BL72" s="167">
        <f t="shared" ca="1" si="84"/>
        <v>16.233424501424498</v>
      </c>
      <c r="BM72" s="178"/>
      <c r="BN72" s="178"/>
      <c r="BO72" s="169">
        <f t="shared" ca="1" si="72"/>
        <v>73.796461538461543</v>
      </c>
      <c r="BP72" s="170">
        <f ca="1">INDEX('Cap based on indoor unit SZ'!$V$43:$V$58,MATCH(AE72,'Cap based on indoor unit SZ'!$U$43:$U$58))</f>
        <v>24.598820512820513</v>
      </c>
      <c r="BQ72" s="170">
        <f ca="1">INDEX('Cap based on indoor unit SZ'!$V$43:$V$58,MATCH(AF72,'Cap based on indoor unit SZ'!$U$43:$U$58))</f>
        <v>24.598820512820513</v>
      </c>
      <c r="BR72" s="170">
        <f ca="1">INDEX('Cap based on indoor unit SZ'!$V$43:$V$58,MATCH(AG72,'Cap based on indoor unit SZ'!$U$43:$U$58))</f>
        <v>24.598820512820513</v>
      </c>
      <c r="BS72" s="179"/>
      <c r="BT72" s="179"/>
      <c r="BU72" s="175">
        <v>16500</v>
      </c>
      <c r="BV72" s="175">
        <v>16500</v>
      </c>
      <c r="BW72" s="175">
        <v>16500</v>
      </c>
      <c r="BX72" s="179"/>
      <c r="BY72" s="179"/>
      <c r="BZ72" s="172">
        <f t="shared" ca="1" si="73"/>
        <v>48.700273504273497</v>
      </c>
      <c r="CA72" s="173">
        <f t="shared" ca="1" si="85"/>
        <v>16.233424501424498</v>
      </c>
      <c r="CB72" s="173">
        <f t="shared" ca="1" si="86"/>
        <v>16.233424501424498</v>
      </c>
      <c r="CC72" s="173">
        <f t="shared" ca="1" si="87"/>
        <v>16.233424501424498</v>
      </c>
      <c r="CD72" s="180"/>
      <c r="CE72" s="180"/>
      <c r="CF72" s="166">
        <f t="shared" ca="1" si="76"/>
        <v>28.706992952280018</v>
      </c>
      <c r="CG72" s="167">
        <f t="shared" ca="1" si="77"/>
        <v>9.5689976507600054</v>
      </c>
      <c r="CH72" s="167">
        <f t="shared" ca="1" si="77"/>
        <v>9.5689976507600054</v>
      </c>
      <c r="CI72" s="167">
        <f t="shared" ca="1" si="77"/>
        <v>9.5689976507600054</v>
      </c>
      <c r="CJ72" s="178"/>
      <c r="CK72" s="178"/>
    </row>
    <row r="73" spans="2:89">
      <c r="B73" s="196">
        <v>24</v>
      </c>
      <c r="C73" s="197">
        <v>80.599999999999994</v>
      </c>
      <c r="D73" s="197">
        <v>66.2</v>
      </c>
      <c r="E73" s="198" t="s">
        <v>109</v>
      </c>
      <c r="F73" s="223">
        <f t="shared" si="88"/>
        <v>0.70000000000000007</v>
      </c>
      <c r="G73" s="224">
        <f t="shared" si="88"/>
        <v>0.6999701759618252</v>
      </c>
      <c r="H73" s="224">
        <f t="shared" si="88"/>
        <v>0.69997008674842953</v>
      </c>
      <c r="I73" s="224">
        <f t="shared" si="88"/>
        <v>0.69987959060806748</v>
      </c>
      <c r="J73" s="224">
        <f t="shared" si="88"/>
        <v>0.70012055455093436</v>
      </c>
      <c r="K73" s="224">
        <f t="shared" si="88"/>
        <v>0.69988031119090366</v>
      </c>
      <c r="L73" s="223">
        <f t="shared" si="88"/>
        <v>0.68982035928143715</v>
      </c>
      <c r="M73" s="223">
        <f t="shared" si="88"/>
        <v>0.71017699115044242</v>
      </c>
      <c r="N73" s="223">
        <f t="shared" si="88"/>
        <v>0.7300509337860781</v>
      </c>
      <c r="O73" s="223">
        <f t="shared" si="88"/>
        <v>0.82972136222910231</v>
      </c>
      <c r="P73" s="223">
        <f t="shared" si="88"/>
        <v>0.9863813229571986</v>
      </c>
      <c r="Q73" s="225">
        <f t="shared" si="88"/>
        <v>0.99512723335138065</v>
      </c>
      <c r="R73" s="226">
        <f t="shared" ca="1" si="89"/>
        <v>0.7300509337860781</v>
      </c>
      <c r="S73" s="145"/>
      <c r="T73" s="145"/>
      <c r="U73" s="146" t="s">
        <v>97</v>
      </c>
      <c r="V73" s="150">
        <f ca="1">TREND(R71:R74,C71:C74,INDOOR_DB)</f>
        <v>0.8296816434890123</v>
      </c>
      <c r="W73" s="145"/>
      <c r="X73" s="227"/>
      <c r="AC73" s="164" t="s">
        <v>163</v>
      </c>
      <c r="AD73" s="164">
        <v>36</v>
      </c>
      <c r="AE73" s="165">
        <v>18</v>
      </c>
      <c r="AF73" s="165">
        <v>18</v>
      </c>
      <c r="AG73" s="165">
        <v>24</v>
      </c>
      <c r="AH73" s="164"/>
      <c r="AI73" s="164"/>
      <c r="AJ73" s="501"/>
      <c r="AK73" s="166">
        <f t="shared" ca="1" si="61"/>
        <v>38.965555555555568</v>
      </c>
      <c r="AL73" s="167">
        <f t="shared" ca="1" si="78"/>
        <v>11.689666666666669</v>
      </c>
      <c r="AM73" s="167">
        <f t="shared" ca="1" si="79"/>
        <v>11.689666666666669</v>
      </c>
      <c r="AN73" s="167">
        <f t="shared" ca="1" si="80"/>
        <v>15.586222222222226</v>
      </c>
      <c r="AO73" s="178"/>
      <c r="AP73" s="178"/>
      <c r="AQ73" s="169">
        <f t="shared" ca="1" si="64"/>
        <v>64.094444444444434</v>
      </c>
      <c r="AR73" s="170">
        <f ca="1">INDEX('Cap based on indoor unit SZ'!$J$6:$J$21,MATCH(AE73,'Cap based on indoor unit SZ'!$I$6:$I$21))</f>
        <v>19.821111111111112</v>
      </c>
      <c r="AS73" s="170">
        <f ca="1">INDEX('Cap based on indoor unit SZ'!$J$6:$J$21,MATCH(AF73,'Cap based on indoor unit SZ'!$I$6:$I$21))</f>
        <v>19.821111111111112</v>
      </c>
      <c r="AT73" s="170">
        <f ca="1">INDEX('Cap based on indoor unit SZ'!$J$6:$J$21,MATCH(AG73,'Cap based on indoor unit SZ'!$I$6:$I$21))</f>
        <v>24.452222222222218</v>
      </c>
      <c r="AU73" s="179"/>
      <c r="AV73" s="179"/>
      <c r="AW73" s="169">
        <f t="shared" si="65"/>
        <v>50</v>
      </c>
      <c r="AX73" s="170">
        <v>15</v>
      </c>
      <c r="AY73" s="170">
        <v>15</v>
      </c>
      <c r="AZ73" s="170">
        <v>20</v>
      </c>
      <c r="BA73" s="179"/>
      <c r="BB73" s="179"/>
      <c r="BC73" s="172">
        <f t="shared" ca="1" si="66"/>
        <v>38.965555555555568</v>
      </c>
      <c r="BD73" s="173">
        <f t="shared" ca="1" si="81"/>
        <v>11.689666666666669</v>
      </c>
      <c r="BE73" s="173">
        <f t="shared" ca="1" si="81"/>
        <v>11.689666666666669</v>
      </c>
      <c r="BF73" s="173">
        <f t="shared" ca="1" si="81"/>
        <v>15.586222222222226</v>
      </c>
      <c r="BG73" s="180"/>
      <c r="BH73" s="180"/>
      <c r="BI73" s="166">
        <f t="shared" ca="1" si="69"/>
        <v>48.700273504273497</v>
      </c>
      <c r="BJ73" s="167">
        <f t="shared" ca="1" si="82"/>
        <v>14.610082051282051</v>
      </c>
      <c r="BK73" s="167">
        <f t="shared" ca="1" si="83"/>
        <v>14.610082051282051</v>
      </c>
      <c r="BL73" s="167">
        <f t="shared" ca="1" si="84"/>
        <v>19.480109401709399</v>
      </c>
      <c r="BM73" s="178"/>
      <c r="BN73" s="178"/>
      <c r="BO73" s="169">
        <f t="shared" ca="1" si="72"/>
        <v>79.487641025641025</v>
      </c>
      <c r="BP73" s="170">
        <f ca="1">INDEX('Cap based on indoor unit SZ'!$V$43:$V$58,MATCH(AE73,'Cap based on indoor unit SZ'!$U$43:$U$58))</f>
        <v>24.598820512820513</v>
      </c>
      <c r="BQ73" s="170">
        <f ca="1">INDEX('Cap based on indoor unit SZ'!$V$43:$V$58,MATCH(AF73,'Cap based on indoor unit SZ'!$U$43:$U$58))</f>
        <v>24.598820512820513</v>
      </c>
      <c r="BR73" s="170">
        <f ca="1">INDEX('Cap based on indoor unit SZ'!$V$43:$V$58,MATCH(AG73,'Cap based on indoor unit SZ'!$U$43:$U$58))</f>
        <v>30.290000000000003</v>
      </c>
      <c r="BS73" s="179"/>
      <c r="BT73" s="179"/>
      <c r="BU73" s="175">
        <v>15500</v>
      </c>
      <c r="BV73" s="175">
        <v>15500</v>
      </c>
      <c r="BW73" s="175">
        <v>21000</v>
      </c>
      <c r="BX73" s="179"/>
      <c r="BY73" s="179"/>
      <c r="BZ73" s="172">
        <f t="shared" ca="1" si="73"/>
        <v>48.700273504273497</v>
      </c>
      <c r="CA73" s="173">
        <f t="shared" ca="1" si="85"/>
        <v>14.610082051282051</v>
      </c>
      <c r="CB73" s="173">
        <f t="shared" ca="1" si="86"/>
        <v>14.610082051282051</v>
      </c>
      <c r="CC73" s="173">
        <f t="shared" ca="1" si="87"/>
        <v>19.480109401709399</v>
      </c>
      <c r="CD73" s="180"/>
      <c r="CE73" s="180"/>
      <c r="CF73" s="166">
        <f t="shared" ca="1" si="76"/>
        <v>28.706992952280022</v>
      </c>
      <c r="CG73" s="167">
        <f t="shared" ca="1" si="77"/>
        <v>8.6120978856840065</v>
      </c>
      <c r="CH73" s="167">
        <f t="shared" ca="1" si="77"/>
        <v>8.6120978856840065</v>
      </c>
      <c r="CI73" s="167">
        <f t="shared" ca="1" si="77"/>
        <v>11.482797180912009</v>
      </c>
      <c r="CJ73" s="178"/>
      <c r="CK73" s="178"/>
    </row>
    <row r="74" spans="2:89" ht="14.4" thickBot="1">
      <c r="B74" s="204">
        <v>24</v>
      </c>
      <c r="C74" s="205">
        <v>89.6</v>
      </c>
      <c r="D74" s="205">
        <v>73.400000000000006</v>
      </c>
      <c r="E74" s="206" t="s">
        <v>109</v>
      </c>
      <c r="F74" s="228">
        <f t="shared" si="88"/>
        <v>0.6998011928429424</v>
      </c>
      <c r="G74" s="229">
        <f t="shared" si="88"/>
        <v>0.69983277591973236</v>
      </c>
      <c r="H74" s="229">
        <f t="shared" si="88"/>
        <v>0.70002795638803461</v>
      </c>
      <c r="I74" s="229">
        <f t="shared" si="88"/>
        <v>0.69985935302391</v>
      </c>
      <c r="J74" s="229">
        <f t="shared" si="88"/>
        <v>0.70000000000000007</v>
      </c>
      <c r="K74" s="229">
        <f t="shared" si="88"/>
        <v>0.76006711409395977</v>
      </c>
      <c r="L74" s="228">
        <f t="shared" si="88"/>
        <v>0.8200895355344151</v>
      </c>
      <c r="M74" s="228">
        <f t="shared" si="88"/>
        <v>0.85022156573116692</v>
      </c>
      <c r="N74" s="228">
        <f t="shared" si="88"/>
        <v>0.89019358933671844</v>
      </c>
      <c r="O74" s="228">
        <f t="shared" si="88"/>
        <v>0.920214964861513</v>
      </c>
      <c r="P74" s="228">
        <f t="shared" si="88"/>
        <v>0.96000000000000008</v>
      </c>
      <c r="Q74" s="230">
        <f t="shared" si="88"/>
        <v>1</v>
      </c>
      <c r="R74" s="231">
        <f t="shared" ca="1" si="89"/>
        <v>0.89019358933671855</v>
      </c>
      <c r="S74" s="145"/>
      <c r="T74" s="145"/>
      <c r="U74" s="146"/>
      <c r="V74" s="151"/>
      <c r="W74" s="145"/>
      <c r="X74" s="227"/>
      <c r="AC74" s="164" t="s">
        <v>162</v>
      </c>
      <c r="AD74" s="164">
        <v>36</v>
      </c>
      <c r="AE74" s="165">
        <v>9</v>
      </c>
      <c r="AF74" s="165">
        <v>9</v>
      </c>
      <c r="AG74" s="165">
        <v>9</v>
      </c>
      <c r="AH74" s="164">
        <v>9</v>
      </c>
      <c r="AI74" s="164"/>
      <c r="AJ74" s="500">
        <v>4</v>
      </c>
      <c r="AK74" s="166">
        <f t="shared" ca="1" si="61"/>
        <v>38.965555555555561</v>
      </c>
      <c r="AL74" s="167">
        <f t="shared" ref="AL74:AL91" ca="1" si="90">IF((INDEX($AA$4:$AA$7,MATCH(INDOOR_1,$Z$4:$Z$7))*(INDEX($X$27:$X$46,MATCH($AD74,$W$27:$W$46,1))/(INDEX($AA$4:$AA$7,MATCH(INDOOR_1,$Z$4:$Z$7))+INDEX($AA$4:$AA$7,MATCH(INDOOR_2,$Z$4:$Z$7))+INDEX($AA$4:$AA$7,MATCH(INDOOR_3,$Z$4:$Z$7))+INDEX($AA$4:$AA$7,MATCH(INDOOR_4,$Z$4:$Z$7)))))
&gt;AR74,AR74,
(INDEX($AA$4:$AA$7,MATCH(INDOOR_1,$Z$4:$Z$7))*(INDEX($X$27:$X$46,MATCH($AD74,$W$27:$W$46,1))/(INDEX($AA$4:$AA$7,MATCH(INDOOR_1,$Z$4:$Z$7))+INDEX($AA$4:$AA$7,MATCH(INDOOR_2,$Z$4:$Z$7))+INDEX($AA$4:$AA$7,MATCH(INDOOR_3,$Z$4:$Z$7))+INDEX($AA$4:$AA$7,MATCH(INDOOR_4,$Z$4:$Z$7))))))</f>
        <v>9.7413888888888902</v>
      </c>
      <c r="AM74" s="167">
        <f t="shared" ref="AM74:AM91" ca="1" si="91">IF((INDEX($AA$4:$AA$7,MATCH(INDOOR_2,$Z$4:$Z$7))*(INDEX($X$27:$X$46,MATCH($AD74,$W$27:$W$46,1))/(INDEX($AA$4:$AA$7,MATCH(INDOOR_1,$Z$4:$Z$7))+INDEX($AA$4:$AA$7,MATCH(INDOOR_2,$Z$4:$Z$7))+INDEX($AA$4:$AA$7,MATCH(INDOOR_3,$Z$4:$Z$7))+INDEX($AA$4:$AA$7,MATCH(INDOOR_4,$Z$4:$Z$7)))))
&gt;AS74,AS74,
(INDEX($AA$4:$AA$7,MATCH(INDOOR_2,$Z$4:$Z$7))*(INDEX($X$27:$X$46,MATCH($AD74,$W$27:$W$46,1))/(INDEX($AA$4:$AA$7,MATCH(INDOOR_1,$Z$4:$Z$7))+INDEX($AA$4:$AA$7,MATCH(INDOOR_2,$Z$4:$Z$7))+INDEX($AA$4:$AA$7,MATCH(INDOOR_3,$Z$4:$Z$7))+INDEX($AA$4:$AA$7,MATCH(INDOOR_4,$Z$4:$Z$7))))))</f>
        <v>9.7413888888888902</v>
      </c>
      <c r="AN74" s="167">
        <f t="shared" ref="AN74:AN91" ca="1" si="92">IF((INDEX($AA$4:$AA$7,MATCH(INDOOR_3,$Z$4:$Z$7))*(INDEX($X$27:$X$46,MATCH($AD74,$W$27:$W$46,1))/(INDEX($AA$4:$AA$7,MATCH(INDOOR_1,$Z$4:$Z$7))+INDEX($AA$4:$AA$7,MATCH(INDOOR_2,$Z$4:$Z$7))+INDEX($AA$4:$AA$7,MATCH(INDOOR_3,$Z$4:$Z$7))+INDEX($AA$4:$AA$7,MATCH(INDOOR_4,$Z$4:$Z$7)))))
&gt;AT74,AT74,
(INDEX($AA$4:$AA$7,MATCH(INDOOR_3,$Z$4:$Z$7))*(INDEX($X$27:$X$46,MATCH($AD74,$W$27:$W$46,1))/(INDEX($AA$4:$AA$7,MATCH(INDOOR_1,$Z$4:$Z$7))+INDEX($AA$4:$AA$7,MATCH(INDOOR_2,$Z$4:$Z$7))+INDEX($AA$4:$AA$7,MATCH(INDOOR_3,$Z$4:$Z$7))+INDEX($AA$4:$AA$7,MATCH(INDOOR_4,$Z$4:$Z$7))))))</f>
        <v>9.7413888888888902</v>
      </c>
      <c r="AO74" s="167">
        <f t="shared" ref="AO74:AO91" ca="1" si="93">IF((INDEX($AA$4:$AA$7,MATCH(INDOOR_4,$Z$4:$Z$7))*(INDEX($X$27:$X$46,MATCH($AD74,$W$27:$W$46,1))/(INDEX($AA$4:$AA$7,MATCH(INDOOR_1,$Z$4:$Z$7))+INDEX($AA$4:$AA$7,MATCH(INDOOR_2,$Z$4:$Z$7))+INDEX($AA$4:$AA$7,MATCH(INDOOR_3,$Z$4:$Z$7))+INDEX($AA$4:$AA$7,MATCH(INDOOR_4,$Z$4:$Z$7)))))
&gt;AU74,AU74,
(INDEX($AA$4:$AA$7,MATCH(INDOOR_4,$Z$4:$Z$7))*(INDEX($X$27:$X$46,MATCH($AD74,$W$27:$W$46,1))/(INDEX($AA$4:$AA$7,MATCH(INDOOR_1,$Z$4:$Z$7))+INDEX($AA$4:$AA$7,MATCH(INDOOR_2,$Z$4:$Z$7))+INDEX($AA$4:$AA$7,MATCH(INDOOR_3,$Z$4:$Z$7))+INDEX($AA$4:$AA$7,MATCH(INDOOR_4,$Z$4:$Z$7))))))</f>
        <v>9.7413888888888902</v>
      </c>
      <c r="AP74" s="178"/>
      <c r="AQ74" s="169">
        <f t="shared" ca="1" si="64"/>
        <v>41.852444444444444</v>
      </c>
      <c r="AR74" s="170">
        <f ca="1">INDEX('Cap based on indoor unit SZ'!$J$6:$J$21,MATCH(AE74,'Cap based on indoor unit SZ'!$I$6:$I$21))</f>
        <v>10.463111111111111</v>
      </c>
      <c r="AS74" s="170">
        <f ca="1">INDEX('Cap based on indoor unit SZ'!$J$6:$J$21,MATCH(AF74,'Cap based on indoor unit SZ'!$I$6:$I$21))</f>
        <v>10.463111111111111</v>
      </c>
      <c r="AT74" s="170">
        <f ca="1">INDEX('Cap based on indoor unit SZ'!$J$6:$J$21,MATCH(AG74,'Cap based on indoor unit SZ'!$I$6:$I$21))</f>
        <v>10.463111111111111</v>
      </c>
      <c r="AU74" s="170">
        <f ca="1">INDEX('Cap based on indoor unit SZ'!$J$6:$J$21,MATCH(AH74,'Cap based on indoor unit SZ'!$I$6:$I$21))</f>
        <v>10.463111111111111</v>
      </c>
      <c r="AV74" s="179"/>
      <c r="AW74" s="169">
        <f t="shared" si="65"/>
        <v>37</v>
      </c>
      <c r="AX74" s="170">
        <v>9.25</v>
      </c>
      <c r="AY74" s="170">
        <v>9.25</v>
      </c>
      <c r="AZ74" s="170">
        <v>9.25</v>
      </c>
      <c r="BA74" s="170">
        <v>9.25</v>
      </c>
      <c r="BB74" s="179"/>
      <c r="BC74" s="172">
        <f t="shared" ca="1" si="66"/>
        <v>38.965555555555561</v>
      </c>
      <c r="BD74" s="173">
        <f t="shared" ref="BD74:BG91" ca="1" si="94">(INDEX($AA$4:$AA$7,MATCH(AE74,$Z$4:$Z$7))*(INDEX($X$27:$X$46,MATCH($AD74,$W$27:$W$46,1))/(INDEX($AA$4:$AA$7,MATCH($AE74,$Z$4:$Z$7))+INDEX($AA$4:$AA$7,MATCH($AF74,$Z$4:$Z$7))+INDEX($AA$4:$AA$7,MATCH($AG74,$Z$4:$Z$7))+INDEX($AA$4:$AA$7,MATCH($AH74,$Z$4:$Z$7)))))</f>
        <v>9.7413888888888902</v>
      </c>
      <c r="BE74" s="173">
        <f t="shared" ca="1" si="94"/>
        <v>9.7413888888888902</v>
      </c>
      <c r="BF74" s="173">
        <f t="shared" ca="1" si="94"/>
        <v>9.7413888888888902</v>
      </c>
      <c r="BG74" s="173">
        <f t="shared" ca="1" si="94"/>
        <v>9.7413888888888902</v>
      </c>
      <c r="BH74" s="180"/>
      <c r="BI74" s="166">
        <f t="shared" ca="1" si="69"/>
        <v>47.824082051282048</v>
      </c>
      <c r="BJ74" s="167">
        <f t="shared" ref="BJ74:BJ91" ca="1" si="95">IF((INDEX($AA$4:$AA$7,MATCH(INDOOR_1,$Z$4:$Z$7))*(INDEX($X$118:$X$137,MATCH($AD74,$W$118:$W$137,1))/(INDEX($AA$4:$AA$7,MATCH(INDOOR_1,$Z$4:$Z$7))+INDEX($AA$4:$AA$7,MATCH(INDOOR_2,$Z$4:$Z$7))+INDEX($AA$4:$AA$7,MATCH(INDOOR_3,$Z$4:$Z$7))+INDEX($AA$4:$AA$7,MATCH(INDOOR_4,$Z$4:$Z$7)))))
&gt;BP74,BP74,
(INDEX($AA$4:$AA$7,MATCH(INDOOR_1,$Z$4:$Z$7))*(INDEX($X$118:$X$137,MATCH($AD74,$W$118:$W$137,1))/(INDEX($AA$4:$AA$7,MATCH(INDOOR_1,$Z$4:$Z$7))+INDEX($AA$4:$AA$7,MATCH(INDOOR_2,$Z$4:$Z$7))+INDEX($AA$4:$AA$7,MATCH(INDOOR_3,$Z$4:$Z$7))+INDEX($AA$4:$AA$7,MATCH(INDOOR_4,$Z$4:$Z$7))))))</f>
        <v>11.956020512820512</v>
      </c>
      <c r="BK74" s="167">
        <f t="shared" ref="BK74:BK91" ca="1" si="96">IF((INDEX($AA$4:$AA$7,MATCH(INDOOR_2,$Z$4:$Z$7))*(INDEX($X$118:$X$137,MATCH($AD74,$W$118:$W$137,1))/(INDEX($AA$4:$AA$7,MATCH(INDOOR_1,$Z$4:$Z$7))+INDEX($AA$4:$AA$7,MATCH(INDOOR_2,$Z$4:$Z$7))+INDEX($AA$4:$AA$7,MATCH(INDOOR_3,$Z$4:$Z$7))+INDEX($AA$4:$AA$7,MATCH(INDOOR_4,$Z$4:$Z$7)))))
&gt;BQ74,BQ74,
(INDEX($AA$4:$AA$7,MATCH(INDOOR_2,$Z$4:$Z$7))*(INDEX($X$118:$X$137,MATCH($AD74,$W$118:$W$137,1))/(INDEX($AA$4:$AA$7,MATCH(INDOOR_1,$Z$4:$Z$7))+INDEX($AA$4:$AA$7,MATCH(INDOOR_2,$Z$4:$Z$7))+INDEX($AA$4:$AA$7,MATCH(INDOOR_3,$Z$4:$Z$7))+INDEX($AA$4:$AA$7,MATCH(INDOOR_4,$Z$4:$Z$7))))))</f>
        <v>11.956020512820512</v>
      </c>
      <c r="BL74" s="167">
        <f t="shared" ref="BL74:BL91" ca="1" si="97">IF((INDEX($AA$4:$AA$7,MATCH(INDOOR_3,$Z$4:$Z$7))*(INDEX($X$118:$X$137,MATCH($AD74,$W$118:$W$137,1))/(INDEX($AA$4:$AA$7,MATCH(INDOOR_1,$Z$4:$Z$7))+INDEX($AA$4:$AA$7,MATCH(INDOOR_2,$Z$4:$Z$7))+INDEX($AA$4:$AA$7,MATCH(INDOOR_3,$Z$4:$Z$7))+INDEX($AA$4:$AA$7,MATCH(INDOOR_4,$Z$4:$Z$7)))))
&gt;BR74,BR74,
(INDEX($AA$4:$AA$7,MATCH(INDOOR_3,$Z$4:$Z$7))*(INDEX($X$118:$X$137,MATCH($AD74,$W$118:$W$137,1))/(INDEX($AA$4:$AA$7,MATCH(INDOOR_1,$Z$4:$Z$7))+INDEX($AA$4:$AA$7,MATCH(INDOOR_2,$Z$4:$Z$7))+INDEX($AA$4:$AA$7,MATCH(INDOOR_3,$Z$4:$Z$7))+INDEX($AA$4:$AA$7,MATCH(INDOOR_4,$Z$4:$Z$7))))))</f>
        <v>11.956020512820512</v>
      </c>
      <c r="BM74" s="167">
        <f t="shared" ref="BM74:BM91" ca="1" si="98">IF((INDEX($AA$4:$AA$7,MATCH(INDOOR_4,$Z$4:$Z$7))*(INDEX($X$118:$X$137,MATCH($AD74,$W$118:$W$137,1))/(INDEX($AA$4:$AA$7,MATCH(INDOOR_1,$Z$4:$Z$7))+INDEX($AA$4:$AA$7,MATCH(INDOOR_2,$Z$4:$Z$7))+INDEX($AA$4:$AA$7,MATCH(INDOOR_3,$Z$4:$Z$7))+INDEX($AA$4:$AA$7,MATCH(INDOOR_4,$Z$4:$Z$7)))))
&gt;BS74,BS74,
(INDEX($AA$4:$AA$7,MATCH(INDOOR_4,$Z$4:$Z$7))*(INDEX($X$118:$X$137,MATCH($AD74,$W$118:$W$137,1))/(INDEX($AA$4:$AA$7,MATCH(INDOOR_1,$Z$4:$Z$7))+INDEX($AA$4:$AA$7,MATCH(INDOOR_2,$Z$4:$Z$7))+INDEX($AA$4:$AA$7,MATCH(INDOOR_3,$Z$4:$Z$7))+INDEX($AA$4:$AA$7,MATCH(INDOOR_4,$Z$4:$Z$7))))))</f>
        <v>11.956020512820512</v>
      </c>
      <c r="BN74" s="178"/>
      <c r="BO74" s="169">
        <f t="shared" ca="1" si="72"/>
        <v>47.824082051282048</v>
      </c>
      <c r="BP74" s="170">
        <f ca="1">INDEX('Cap based on indoor unit SZ'!$V$43:$V$58,MATCH(AE74,'Cap based on indoor unit SZ'!$U$43:$U$58))</f>
        <v>11.956020512820512</v>
      </c>
      <c r="BQ74" s="170">
        <f ca="1">INDEX('Cap based on indoor unit SZ'!$V$43:$V$58,MATCH(AF74,'Cap based on indoor unit SZ'!$U$43:$U$58))</f>
        <v>11.956020512820512</v>
      </c>
      <c r="BR74" s="170">
        <f ca="1">INDEX('Cap based on indoor unit SZ'!$V$43:$V$58,MATCH(AG74,'Cap based on indoor unit SZ'!$U$43:$U$58))</f>
        <v>11.956020512820512</v>
      </c>
      <c r="BS74" s="170">
        <f ca="1">INDEX('Cap based on indoor unit SZ'!$V$43:$V$58,MATCH(AH74,'Cap based on indoor unit SZ'!$U$43:$U$58))</f>
        <v>11.956020512820512</v>
      </c>
      <c r="BT74" s="179"/>
      <c r="BU74" s="175">
        <v>9500</v>
      </c>
      <c r="BV74" s="175">
        <v>9500</v>
      </c>
      <c r="BW74" s="175">
        <v>9500</v>
      </c>
      <c r="BX74" s="175">
        <v>9500</v>
      </c>
      <c r="BY74" s="179"/>
      <c r="BZ74" s="172">
        <f t="shared" ca="1" si="73"/>
        <v>48.700273504273497</v>
      </c>
      <c r="CA74" s="173">
        <f t="shared" ref="CA74:CA91" ca="1" si="99">(INDEX($AA$4:$AA$7,MATCH(INDOOR_1,$Z$4:$Z$7))*(INDEX($X$118:$X$137,MATCH($AD74,$W$118:$W$137,1))/(INDEX($AA$4:$AA$7,MATCH(INDOOR_1,$Z$4:$Z$7))+INDEX($AA$4:$AA$7,MATCH(INDOOR_2,$Z$4:$Z$7))+INDEX($AA$4:$AA$7,MATCH(INDOOR_3,$Z$4:$Z$7))+INDEX($AA$4:$AA$7,MATCH(INDOOR_4,$Z$4:$Z$7)))))</f>
        <v>12.175068376068374</v>
      </c>
      <c r="CB74" s="173">
        <f t="shared" ref="CB74:CB91" ca="1" si="100">(INDEX($AA$4:$AA$7,MATCH(INDOOR_2,$Z$4:$Z$7))*(INDEX($X$118:$X$137,MATCH($AD74,$W$118:$W$137,1))/(INDEX($AA$4:$AA$7,MATCH(INDOOR_1,$Z$4:$Z$7))+INDEX($AA$4:$AA$7,MATCH(INDOOR_2,$Z$4:$Z$7))+INDEX($AA$4:$AA$7,MATCH(INDOOR_3,$Z$4:$Z$7))+INDEX($AA$4:$AA$7,MATCH(INDOOR_4,$Z$4:$Z$7)))))</f>
        <v>12.175068376068374</v>
      </c>
      <c r="CC74" s="173">
        <f t="shared" ref="CC74:CC91" ca="1" si="101">(INDEX($AA$4:$AA$7,MATCH(INDOOR_3,$Z$4:$Z$7))*(INDEX($X$118:$X$137,MATCH($AD74,$W$118:$W$137,1))/(INDEX($AA$4:$AA$7,MATCH(INDOOR_1,$Z$4:$Z$7))+INDEX($AA$4:$AA$7,MATCH(INDOOR_2,$Z$4:$Z$7))+INDEX($AA$4:$AA$7,MATCH(INDOOR_3,$Z$4:$Z$7))+INDEX($AA$4:$AA$7,MATCH(INDOOR_4,$Z$4:$Z$7)))))</f>
        <v>12.175068376068374</v>
      </c>
      <c r="CD74" s="173">
        <f t="shared" ref="CD74:CD91" ca="1" si="102">(INDEX($AA$4:$AA$7,MATCH(INDOOR_4,$Z$4:$Z$7))*(INDEX($X$118:$X$137,MATCH($AD74,$W$118:$W$137,1))/(INDEX($AA$4:$AA$7,MATCH(INDOOR_1,$Z$4:$Z$7))+INDEX($AA$4:$AA$7,MATCH(INDOOR_2,$Z$4:$Z$7))+INDEX($AA$4:$AA$7,MATCH(INDOOR_3,$Z$4:$Z$7))+INDEX($AA$4:$AA$7,MATCH(INDOOR_4,$Z$4:$Z$7)))))</f>
        <v>12.175068376068374</v>
      </c>
      <c r="CE74" s="180"/>
      <c r="CF74" s="166">
        <f t="shared" ca="1" si="76"/>
        <v>28.706992952280018</v>
      </c>
      <c r="CG74" s="167">
        <f t="shared" ca="1" si="77"/>
        <v>7.1767482380700045</v>
      </c>
      <c r="CH74" s="167">
        <f t="shared" ca="1" si="77"/>
        <v>7.1767482380700045</v>
      </c>
      <c r="CI74" s="167">
        <f t="shared" ca="1" si="77"/>
        <v>7.1767482380700045</v>
      </c>
      <c r="CJ74" s="167">
        <f t="shared" ca="1" si="77"/>
        <v>7.1767482380700045</v>
      </c>
      <c r="CK74" s="178"/>
    </row>
    <row r="75" spans="2:89">
      <c r="B75" s="188">
        <v>30</v>
      </c>
      <c r="C75" s="189">
        <v>69.8</v>
      </c>
      <c r="D75" s="189">
        <v>59</v>
      </c>
      <c r="E75" s="190" t="s">
        <v>109</v>
      </c>
      <c r="F75" s="219">
        <f t="shared" si="88"/>
        <v>0.69994246260069048</v>
      </c>
      <c r="G75" s="220">
        <f t="shared" si="88"/>
        <v>0.6999717753316399</v>
      </c>
      <c r="H75" s="220">
        <f t="shared" si="88"/>
        <v>0.7001137009664582</v>
      </c>
      <c r="I75" s="220">
        <f t="shared" si="88"/>
        <v>0.69988770353733865</v>
      </c>
      <c r="J75" s="220">
        <f t="shared" si="88"/>
        <v>0.70013831258644532</v>
      </c>
      <c r="K75" s="220">
        <f t="shared" si="88"/>
        <v>0.7</v>
      </c>
      <c r="L75" s="219">
        <f t="shared" si="88"/>
        <v>0.75595238095238093</v>
      </c>
      <c r="M75" s="219">
        <f t="shared" si="88"/>
        <v>0.77034306776297135</v>
      </c>
      <c r="N75" s="219">
        <f t="shared" si="88"/>
        <v>0.79078868151715831</v>
      </c>
      <c r="O75" s="219">
        <f t="shared" si="88"/>
        <v>0.90373044524669077</v>
      </c>
      <c r="P75" s="219">
        <f t="shared" si="88"/>
        <v>0.974290780141844</v>
      </c>
      <c r="Q75" s="221">
        <f t="shared" si="88"/>
        <v>0.96724565756823822</v>
      </c>
      <c r="R75" s="222">
        <f t="shared" ca="1" si="89"/>
        <v>0.7907886815171582</v>
      </c>
      <c r="S75" s="145"/>
      <c r="T75" s="145"/>
      <c r="U75" s="146" t="s">
        <v>96</v>
      </c>
      <c r="V75" s="150">
        <f ca="1">FORECAST(INDOOR_DB,OFFSET(R75:R78,MATCH(INDOOR_DB,C75:C78,1)-1,0,2),OFFSET(C75:C78,MATCH(INDOOR_DB,C75:C78,1)-1,0,2))</f>
        <v>0.74887550956054705</v>
      </c>
      <c r="W75" s="145">
        <f>B75</f>
        <v>30</v>
      </c>
      <c r="X75" s="150">
        <f ca="1">IF(OR(INDOOR_DB&lt;C75,INDOOR_DB&gt;C78),V77,V75)</f>
        <v>0.74887550956054705</v>
      </c>
      <c r="AC75" s="164" t="s">
        <v>161</v>
      </c>
      <c r="AD75" s="164">
        <v>36</v>
      </c>
      <c r="AE75" s="165">
        <v>9</v>
      </c>
      <c r="AF75" s="165">
        <v>9</v>
      </c>
      <c r="AG75" s="165">
        <v>9</v>
      </c>
      <c r="AH75" s="164">
        <v>12</v>
      </c>
      <c r="AI75" s="164"/>
      <c r="AJ75" s="501"/>
      <c r="AK75" s="166">
        <f t="shared" ca="1" si="61"/>
        <v>38.965555555555561</v>
      </c>
      <c r="AL75" s="167">
        <f t="shared" ca="1" si="90"/>
        <v>8.9920512820512837</v>
      </c>
      <c r="AM75" s="167">
        <f t="shared" ca="1" si="91"/>
        <v>8.9920512820512837</v>
      </c>
      <c r="AN75" s="167">
        <f t="shared" ca="1" si="92"/>
        <v>8.9920512820512837</v>
      </c>
      <c r="AO75" s="167">
        <f t="shared" ca="1" si="93"/>
        <v>11.989401709401712</v>
      </c>
      <c r="AP75" s="178"/>
      <c r="AQ75" s="169">
        <f t="shared" ca="1" si="64"/>
        <v>44.468222222222224</v>
      </c>
      <c r="AR75" s="170">
        <f ca="1">INDEX('Cap based on indoor unit SZ'!$J$6:$J$21,MATCH(AE75,'Cap based on indoor unit SZ'!$I$6:$I$21))</f>
        <v>10.463111111111111</v>
      </c>
      <c r="AS75" s="170">
        <f ca="1">INDEX('Cap based on indoor unit SZ'!$J$6:$J$21,MATCH(AF75,'Cap based on indoor unit SZ'!$I$6:$I$21))</f>
        <v>10.463111111111111</v>
      </c>
      <c r="AT75" s="170">
        <f ca="1">INDEX('Cap based on indoor unit SZ'!$J$6:$J$21,MATCH(AG75,'Cap based on indoor unit SZ'!$I$6:$I$21))</f>
        <v>10.463111111111111</v>
      </c>
      <c r="AU75" s="170">
        <f ca="1">INDEX('Cap based on indoor unit SZ'!$J$6:$J$21,MATCH(AH75,'Cap based on indoor unit SZ'!$I$6:$I$21))</f>
        <v>13.078888888888891</v>
      </c>
      <c r="AV75" s="179"/>
      <c r="AW75" s="169">
        <f t="shared" si="65"/>
        <v>39</v>
      </c>
      <c r="AX75" s="170">
        <v>9</v>
      </c>
      <c r="AY75" s="170">
        <v>9</v>
      </c>
      <c r="AZ75" s="170">
        <v>9</v>
      </c>
      <c r="BA75" s="170">
        <v>12</v>
      </c>
      <c r="BB75" s="179"/>
      <c r="BC75" s="172">
        <f t="shared" ca="1" si="66"/>
        <v>38.965555555555561</v>
      </c>
      <c r="BD75" s="173">
        <f t="shared" ca="1" si="94"/>
        <v>8.9920512820512837</v>
      </c>
      <c r="BE75" s="173">
        <f t="shared" ca="1" si="94"/>
        <v>8.9920512820512837</v>
      </c>
      <c r="BF75" s="173">
        <f t="shared" ca="1" si="94"/>
        <v>8.9920512820512837</v>
      </c>
      <c r="BG75" s="173">
        <f t="shared" ca="1" si="94"/>
        <v>11.989401709401712</v>
      </c>
      <c r="BH75" s="180"/>
      <c r="BI75" s="166">
        <f t="shared" ca="1" si="69"/>
        <v>48.660599605522677</v>
      </c>
      <c r="BJ75" s="167">
        <f t="shared" ca="1" si="95"/>
        <v>11.238524654832347</v>
      </c>
      <c r="BK75" s="167">
        <f t="shared" ca="1" si="96"/>
        <v>11.238524654832347</v>
      </c>
      <c r="BL75" s="167">
        <f t="shared" ca="1" si="97"/>
        <v>11.238524654832347</v>
      </c>
      <c r="BM75" s="167">
        <f t="shared" ca="1" si="98"/>
        <v>14.945025641025641</v>
      </c>
      <c r="BN75" s="178"/>
      <c r="BO75" s="169">
        <f t="shared" ca="1" si="72"/>
        <v>50.813087179487169</v>
      </c>
      <c r="BP75" s="170">
        <f ca="1">INDEX('Cap based on indoor unit SZ'!$V$43:$V$58,MATCH(AE75,'Cap based on indoor unit SZ'!$U$43:$U$58))</f>
        <v>11.956020512820512</v>
      </c>
      <c r="BQ75" s="170">
        <f ca="1">INDEX('Cap based on indoor unit SZ'!$V$43:$V$58,MATCH(AF75,'Cap based on indoor unit SZ'!$U$43:$U$58))</f>
        <v>11.956020512820512</v>
      </c>
      <c r="BR75" s="170">
        <f ca="1">INDEX('Cap based on indoor unit SZ'!$V$43:$V$58,MATCH(AG75,'Cap based on indoor unit SZ'!$U$43:$U$58))</f>
        <v>11.956020512820512</v>
      </c>
      <c r="BS75" s="170">
        <f ca="1">INDEX('Cap based on indoor unit SZ'!$V$43:$V$58,MATCH(AH75,'Cap based on indoor unit SZ'!$U$43:$U$58))</f>
        <v>14.945025641025641</v>
      </c>
      <c r="BT75" s="179"/>
      <c r="BU75" s="175">
        <v>9500</v>
      </c>
      <c r="BV75" s="175">
        <v>9500</v>
      </c>
      <c r="BW75" s="175">
        <v>9500</v>
      </c>
      <c r="BX75" s="175">
        <v>12500</v>
      </c>
      <c r="BY75" s="179"/>
      <c r="BZ75" s="172">
        <f t="shared" ca="1" si="73"/>
        <v>48.700273504273497</v>
      </c>
      <c r="CA75" s="173">
        <f t="shared" ca="1" si="99"/>
        <v>11.238524654832347</v>
      </c>
      <c r="CB75" s="173">
        <f t="shared" ca="1" si="100"/>
        <v>11.238524654832347</v>
      </c>
      <c r="CC75" s="173">
        <f t="shared" ca="1" si="101"/>
        <v>11.238524654832347</v>
      </c>
      <c r="CD75" s="173">
        <f t="shared" ca="1" si="102"/>
        <v>14.984699539776461</v>
      </c>
      <c r="CE75" s="180"/>
      <c r="CF75" s="166">
        <f t="shared" ca="1" si="76"/>
        <v>28.706992952280018</v>
      </c>
      <c r="CG75" s="167">
        <f t="shared" ca="1" si="77"/>
        <v>6.6246906812953892</v>
      </c>
      <c r="CH75" s="167">
        <f t="shared" ca="1" si="77"/>
        <v>6.6246906812953892</v>
      </c>
      <c r="CI75" s="167">
        <f t="shared" ca="1" si="77"/>
        <v>6.6246906812953892</v>
      </c>
      <c r="CJ75" s="167">
        <f t="shared" ca="1" si="77"/>
        <v>8.8329209083938522</v>
      </c>
      <c r="CK75" s="178"/>
    </row>
    <row r="76" spans="2:89">
      <c r="B76" s="196">
        <v>30</v>
      </c>
      <c r="C76" s="197">
        <v>75.2</v>
      </c>
      <c r="D76" s="197">
        <v>62.6</v>
      </c>
      <c r="E76" s="198" t="s">
        <v>109</v>
      </c>
      <c r="F76" s="223">
        <f t="shared" si="88"/>
        <v>0.70027932960893857</v>
      </c>
      <c r="G76" s="224">
        <f t="shared" si="88"/>
        <v>0.70019183337900792</v>
      </c>
      <c r="H76" s="224">
        <f t="shared" si="88"/>
        <v>0.69977924944812353</v>
      </c>
      <c r="I76" s="224">
        <f t="shared" si="88"/>
        <v>0.69991823385118568</v>
      </c>
      <c r="J76" s="224">
        <f t="shared" si="88"/>
        <v>0.69997313994090793</v>
      </c>
      <c r="K76" s="224">
        <f t="shared" si="88"/>
        <v>0.74979887369267906</v>
      </c>
      <c r="L76" s="223">
        <f t="shared" si="88"/>
        <v>0.81997918834547345</v>
      </c>
      <c r="M76" s="223">
        <f t="shared" si="88"/>
        <v>0.88002100288789709</v>
      </c>
      <c r="N76" s="223">
        <f t="shared" si="88"/>
        <v>0.89994425863991068</v>
      </c>
      <c r="O76" s="223">
        <f t="shared" si="88"/>
        <v>0.92013372956909356</v>
      </c>
      <c r="P76" s="223">
        <f t="shared" si="88"/>
        <v>0.95032840722495893</v>
      </c>
      <c r="Q76" s="225">
        <f t="shared" si="88"/>
        <v>0.98023897058823517</v>
      </c>
      <c r="R76" s="226">
        <f t="shared" ca="1" si="89"/>
        <v>0.89994425863991068</v>
      </c>
      <c r="S76" s="152"/>
      <c r="T76" s="152"/>
      <c r="U76" s="146"/>
      <c r="V76" s="151"/>
      <c r="W76" s="145"/>
      <c r="X76" s="227"/>
      <c r="AC76" s="164" t="s">
        <v>160</v>
      </c>
      <c r="AD76" s="164">
        <v>36</v>
      </c>
      <c r="AE76" s="165">
        <v>9</v>
      </c>
      <c r="AF76" s="165">
        <v>9</v>
      </c>
      <c r="AG76" s="165">
        <v>9</v>
      </c>
      <c r="AH76" s="164">
        <v>18</v>
      </c>
      <c r="AI76" s="164"/>
      <c r="AJ76" s="501"/>
      <c r="AK76" s="166">
        <f t="shared" ca="1" si="61"/>
        <v>38.965555555555561</v>
      </c>
      <c r="AL76" s="167">
        <f t="shared" ca="1" si="90"/>
        <v>7.793111111111112</v>
      </c>
      <c r="AM76" s="167">
        <f t="shared" ca="1" si="91"/>
        <v>7.793111111111112</v>
      </c>
      <c r="AN76" s="167">
        <f t="shared" ca="1" si="92"/>
        <v>7.793111111111112</v>
      </c>
      <c r="AO76" s="167">
        <f t="shared" ca="1" si="93"/>
        <v>15.586222222222224</v>
      </c>
      <c r="AP76" s="178"/>
      <c r="AQ76" s="169">
        <f t="shared" ca="1" si="64"/>
        <v>51.210444444444448</v>
      </c>
      <c r="AR76" s="170">
        <f ca="1">INDEX('Cap based on indoor unit SZ'!$J$6:$J$21,MATCH(AE76,'Cap based on indoor unit SZ'!$I$6:$I$21))</f>
        <v>10.463111111111111</v>
      </c>
      <c r="AS76" s="170">
        <f ca="1">INDEX('Cap based on indoor unit SZ'!$J$6:$J$21,MATCH(AF76,'Cap based on indoor unit SZ'!$I$6:$I$21))</f>
        <v>10.463111111111111</v>
      </c>
      <c r="AT76" s="170">
        <f ca="1">INDEX('Cap based on indoor unit SZ'!$J$6:$J$21,MATCH(AG76,'Cap based on indoor unit SZ'!$I$6:$I$21))</f>
        <v>10.463111111111111</v>
      </c>
      <c r="AU76" s="170">
        <f ca="1">INDEX('Cap based on indoor unit SZ'!$J$6:$J$21,MATCH(AH76,'Cap based on indoor unit SZ'!$I$6:$I$21))</f>
        <v>19.821111111111112</v>
      </c>
      <c r="AV76" s="179"/>
      <c r="AW76" s="169">
        <f t="shared" si="65"/>
        <v>44</v>
      </c>
      <c r="AX76" s="170">
        <v>9</v>
      </c>
      <c r="AY76" s="170">
        <v>9</v>
      </c>
      <c r="AZ76" s="170">
        <v>9</v>
      </c>
      <c r="BA76" s="170">
        <v>17</v>
      </c>
      <c r="BB76" s="179"/>
      <c r="BC76" s="172">
        <f t="shared" ca="1" si="66"/>
        <v>38.965555555555561</v>
      </c>
      <c r="BD76" s="173">
        <f t="shared" ca="1" si="94"/>
        <v>7.793111111111112</v>
      </c>
      <c r="BE76" s="173">
        <f t="shared" ca="1" si="94"/>
        <v>7.793111111111112</v>
      </c>
      <c r="BF76" s="173">
        <f t="shared" ca="1" si="94"/>
        <v>7.793111111111112</v>
      </c>
      <c r="BG76" s="173">
        <f t="shared" ca="1" si="94"/>
        <v>15.586222222222224</v>
      </c>
      <c r="BH76" s="180"/>
      <c r="BI76" s="166">
        <f t="shared" ca="1" si="69"/>
        <v>48.700273504273497</v>
      </c>
      <c r="BJ76" s="167">
        <f t="shared" ca="1" si="95"/>
        <v>9.7400547008546994</v>
      </c>
      <c r="BK76" s="167">
        <f t="shared" ca="1" si="96"/>
        <v>9.7400547008546994</v>
      </c>
      <c r="BL76" s="167">
        <f t="shared" ca="1" si="97"/>
        <v>9.7400547008546994</v>
      </c>
      <c r="BM76" s="167">
        <f t="shared" ca="1" si="98"/>
        <v>19.480109401709399</v>
      </c>
      <c r="BN76" s="178"/>
      <c r="BO76" s="169">
        <f t="shared" ca="1" si="72"/>
        <v>60.466882051282042</v>
      </c>
      <c r="BP76" s="170">
        <f ca="1">INDEX('Cap based on indoor unit SZ'!$V$43:$V$58,MATCH(AE76,'Cap based on indoor unit SZ'!$U$43:$U$58))</f>
        <v>11.956020512820512</v>
      </c>
      <c r="BQ76" s="170">
        <f ca="1">INDEX('Cap based on indoor unit SZ'!$V$43:$V$58,MATCH(AF76,'Cap based on indoor unit SZ'!$U$43:$U$58))</f>
        <v>11.956020512820512</v>
      </c>
      <c r="BR76" s="170">
        <f ca="1">INDEX('Cap based on indoor unit SZ'!$V$43:$V$58,MATCH(AG76,'Cap based on indoor unit SZ'!$U$43:$U$58))</f>
        <v>11.956020512820512</v>
      </c>
      <c r="BS76" s="170">
        <f ca="1">INDEX('Cap based on indoor unit SZ'!$V$43:$V$58,MATCH(AH76,'Cap based on indoor unit SZ'!$U$43:$U$58))</f>
        <v>24.598820512820513</v>
      </c>
      <c r="BT76" s="179"/>
      <c r="BU76" s="175">
        <v>9500</v>
      </c>
      <c r="BV76" s="175">
        <v>9500</v>
      </c>
      <c r="BW76" s="175">
        <v>9500</v>
      </c>
      <c r="BX76" s="175">
        <v>17500</v>
      </c>
      <c r="BY76" s="179"/>
      <c r="BZ76" s="172">
        <f t="shared" ca="1" si="73"/>
        <v>48.700273504273497</v>
      </c>
      <c r="CA76" s="173">
        <f t="shared" ca="1" si="99"/>
        <v>9.7400547008546994</v>
      </c>
      <c r="CB76" s="173">
        <f t="shared" ca="1" si="100"/>
        <v>9.7400547008546994</v>
      </c>
      <c r="CC76" s="173">
        <f t="shared" ca="1" si="101"/>
        <v>9.7400547008546994</v>
      </c>
      <c r="CD76" s="173">
        <f t="shared" ca="1" si="102"/>
        <v>19.480109401709399</v>
      </c>
      <c r="CE76" s="180"/>
      <c r="CF76" s="166">
        <f t="shared" ca="1" si="76"/>
        <v>28.706992952280018</v>
      </c>
      <c r="CG76" s="167">
        <f t="shared" ca="1" si="77"/>
        <v>5.7413985904560034</v>
      </c>
      <c r="CH76" s="167">
        <f t="shared" ca="1" si="77"/>
        <v>5.7413985904560034</v>
      </c>
      <c r="CI76" s="167">
        <f t="shared" ca="1" si="77"/>
        <v>5.7413985904560034</v>
      </c>
      <c r="CJ76" s="167">
        <f t="shared" ca="1" si="77"/>
        <v>11.482797180912007</v>
      </c>
      <c r="CK76" s="178"/>
    </row>
    <row r="77" spans="2:89">
      <c r="B77" s="196">
        <v>30</v>
      </c>
      <c r="C77" s="197">
        <v>80.599999999999994</v>
      </c>
      <c r="D77" s="197">
        <v>66.2</v>
      </c>
      <c r="E77" s="198" t="s">
        <v>109</v>
      </c>
      <c r="F77" s="223">
        <f t="shared" si="88"/>
        <v>0.70002514458134268</v>
      </c>
      <c r="G77" s="224">
        <f t="shared" si="88"/>
        <v>0.69997532691833209</v>
      </c>
      <c r="H77" s="224">
        <f t="shared" si="88"/>
        <v>0.69990103908955958</v>
      </c>
      <c r="I77" s="224">
        <f t="shared" si="88"/>
        <v>0.6932038834951455</v>
      </c>
      <c r="J77" s="224">
        <f t="shared" si="88"/>
        <v>0.70009737098344704</v>
      </c>
      <c r="K77" s="224">
        <f t="shared" si="88"/>
        <v>0.69990152634170366</v>
      </c>
      <c r="L77" s="223">
        <f t="shared" si="88"/>
        <v>0.7559820538384846</v>
      </c>
      <c r="M77" s="223">
        <f t="shared" si="88"/>
        <v>0.7129272680544847</v>
      </c>
      <c r="N77" s="223">
        <f t="shared" si="88"/>
        <v>0.72999191592562651</v>
      </c>
      <c r="O77" s="223">
        <f t="shared" si="88"/>
        <v>0.82633913340156939</v>
      </c>
      <c r="P77" s="223">
        <f t="shared" si="88"/>
        <v>0.96020633750921147</v>
      </c>
      <c r="Q77" s="225">
        <f t="shared" si="88"/>
        <v>0.98002549936251582</v>
      </c>
      <c r="R77" s="226">
        <f t="shared" ca="1" si="89"/>
        <v>0.72999191592562651</v>
      </c>
      <c r="S77" s="152"/>
      <c r="T77" s="152"/>
      <c r="U77" s="146" t="s">
        <v>97</v>
      </c>
      <c r="V77" s="150">
        <f ca="1">TREND(R75:R78,C75:C78,INDOOR_DB)</f>
        <v>0.83396531058554557</v>
      </c>
      <c r="W77" s="145"/>
      <c r="X77" s="227"/>
      <c r="AC77" s="164" t="s">
        <v>159</v>
      </c>
      <c r="AD77" s="164">
        <v>36</v>
      </c>
      <c r="AE77" s="165">
        <v>9</v>
      </c>
      <c r="AF77" s="165">
        <v>9</v>
      </c>
      <c r="AG77" s="165">
        <v>9</v>
      </c>
      <c r="AH77" s="164">
        <v>24</v>
      </c>
      <c r="AI77" s="164"/>
      <c r="AJ77" s="501"/>
      <c r="AK77" s="166">
        <f t="shared" ca="1" si="61"/>
        <v>38.965555555555561</v>
      </c>
      <c r="AL77" s="167">
        <f t="shared" ca="1" si="90"/>
        <v>6.8762745098039231</v>
      </c>
      <c r="AM77" s="167">
        <f t="shared" ca="1" si="91"/>
        <v>6.8762745098039231</v>
      </c>
      <c r="AN77" s="167">
        <f t="shared" ca="1" si="92"/>
        <v>6.8762745098039231</v>
      </c>
      <c r="AO77" s="167">
        <f t="shared" ca="1" si="93"/>
        <v>18.336732026143792</v>
      </c>
      <c r="AP77" s="178"/>
      <c r="AQ77" s="169">
        <f t="shared" ca="1" si="64"/>
        <v>55.841555555555551</v>
      </c>
      <c r="AR77" s="170">
        <f ca="1">INDEX('Cap based on indoor unit SZ'!$J$6:$J$21,MATCH(AE77,'Cap based on indoor unit SZ'!$I$6:$I$21))</f>
        <v>10.463111111111111</v>
      </c>
      <c r="AS77" s="170">
        <f ca="1">INDEX('Cap based on indoor unit SZ'!$J$6:$J$21,MATCH(AF77,'Cap based on indoor unit SZ'!$I$6:$I$21))</f>
        <v>10.463111111111111</v>
      </c>
      <c r="AT77" s="170">
        <f ca="1">INDEX('Cap based on indoor unit SZ'!$J$6:$J$21,MATCH(AG77,'Cap based on indoor unit SZ'!$I$6:$I$21))</f>
        <v>10.463111111111111</v>
      </c>
      <c r="AU77" s="170">
        <f ca="1">INDEX('Cap based on indoor unit SZ'!$J$6:$J$21,MATCH(AH77,'Cap based on indoor unit SZ'!$I$6:$I$21))</f>
        <v>24.452222222222218</v>
      </c>
      <c r="AV77" s="179"/>
      <c r="AW77" s="169">
        <f t="shared" si="65"/>
        <v>46</v>
      </c>
      <c r="AX77" s="170">
        <v>8.5</v>
      </c>
      <c r="AY77" s="170">
        <v>8.5</v>
      </c>
      <c r="AZ77" s="170">
        <v>8.5</v>
      </c>
      <c r="BA77" s="170">
        <v>20.5</v>
      </c>
      <c r="BB77" s="179"/>
      <c r="BC77" s="172">
        <f t="shared" ca="1" si="66"/>
        <v>38.965555555555561</v>
      </c>
      <c r="BD77" s="173">
        <f t="shared" ca="1" si="94"/>
        <v>6.8762745098039231</v>
      </c>
      <c r="BE77" s="173">
        <f t="shared" ca="1" si="94"/>
        <v>6.8762745098039231</v>
      </c>
      <c r="BF77" s="173">
        <f t="shared" ca="1" si="94"/>
        <v>6.8762745098039231</v>
      </c>
      <c r="BG77" s="173">
        <f t="shared" ca="1" si="94"/>
        <v>18.336732026143792</v>
      </c>
      <c r="BH77" s="180"/>
      <c r="BI77" s="166">
        <f t="shared" ca="1" si="69"/>
        <v>48.700273504273504</v>
      </c>
      <c r="BJ77" s="167">
        <f t="shared" ca="1" si="95"/>
        <v>8.5941659125188536</v>
      </c>
      <c r="BK77" s="167">
        <f t="shared" ca="1" si="96"/>
        <v>8.5941659125188536</v>
      </c>
      <c r="BL77" s="167">
        <f t="shared" ca="1" si="97"/>
        <v>8.5941659125188536</v>
      </c>
      <c r="BM77" s="167">
        <f t="shared" ca="1" si="98"/>
        <v>22.917775766716943</v>
      </c>
      <c r="BN77" s="178"/>
      <c r="BO77" s="169">
        <f t="shared" ca="1" si="72"/>
        <v>66.158061538461538</v>
      </c>
      <c r="BP77" s="170">
        <f ca="1">INDEX('Cap based on indoor unit SZ'!$V$43:$V$58,MATCH(AE77,'Cap based on indoor unit SZ'!$U$43:$U$58))</f>
        <v>11.956020512820512</v>
      </c>
      <c r="BQ77" s="170">
        <f ca="1">INDEX('Cap based on indoor unit SZ'!$V$43:$V$58,MATCH(AF77,'Cap based on indoor unit SZ'!$U$43:$U$58))</f>
        <v>11.956020512820512</v>
      </c>
      <c r="BR77" s="170">
        <f ca="1">INDEX('Cap based on indoor unit SZ'!$V$43:$V$58,MATCH(AG77,'Cap based on indoor unit SZ'!$U$43:$U$58))</f>
        <v>11.956020512820512</v>
      </c>
      <c r="BS77" s="170">
        <f ca="1">INDEX('Cap based on indoor unit SZ'!$V$43:$V$58,MATCH(AH77,'Cap based on indoor unit SZ'!$U$43:$U$58))</f>
        <v>30.290000000000003</v>
      </c>
      <c r="BT77" s="179"/>
      <c r="BU77" s="175">
        <v>9000</v>
      </c>
      <c r="BV77" s="175">
        <v>9000</v>
      </c>
      <c r="BW77" s="175">
        <v>9000</v>
      </c>
      <c r="BX77" s="175">
        <v>21000</v>
      </c>
      <c r="BY77" s="179"/>
      <c r="BZ77" s="172">
        <f t="shared" ca="1" si="73"/>
        <v>48.700273504273504</v>
      </c>
      <c r="CA77" s="173">
        <f t="shared" ca="1" si="99"/>
        <v>8.5941659125188536</v>
      </c>
      <c r="CB77" s="173">
        <f t="shared" ca="1" si="100"/>
        <v>8.5941659125188536</v>
      </c>
      <c r="CC77" s="173">
        <f t="shared" ca="1" si="101"/>
        <v>8.5941659125188536</v>
      </c>
      <c r="CD77" s="173">
        <f t="shared" ca="1" si="102"/>
        <v>22.917775766716943</v>
      </c>
      <c r="CE77" s="180"/>
      <c r="CF77" s="166">
        <f t="shared" ca="1" si="76"/>
        <v>28.706992952280018</v>
      </c>
      <c r="CG77" s="167">
        <f t="shared" ca="1" si="77"/>
        <v>5.0659399327552981</v>
      </c>
      <c r="CH77" s="167">
        <f t="shared" ca="1" si="77"/>
        <v>5.0659399327552981</v>
      </c>
      <c r="CI77" s="167">
        <f t="shared" ca="1" si="77"/>
        <v>5.0659399327552981</v>
      </c>
      <c r="CJ77" s="167">
        <f t="shared" ca="1" si="77"/>
        <v>13.509173154014126</v>
      </c>
      <c r="CK77" s="178"/>
    </row>
    <row r="78" spans="2:89" ht="14.4" thickBot="1">
      <c r="B78" s="204">
        <v>30</v>
      </c>
      <c r="C78" s="205">
        <v>89.6</v>
      </c>
      <c r="D78" s="205">
        <v>73.400000000000006</v>
      </c>
      <c r="E78" s="206" t="s">
        <v>109</v>
      </c>
      <c r="F78" s="228">
        <f t="shared" si="88"/>
        <v>0.69988358556460994</v>
      </c>
      <c r="G78" s="229">
        <f t="shared" si="88"/>
        <v>0.700022846698652</v>
      </c>
      <c r="H78" s="229">
        <f t="shared" si="88"/>
        <v>0.7001145475372279</v>
      </c>
      <c r="I78" s="229">
        <f t="shared" si="88"/>
        <v>0.69993256911665536</v>
      </c>
      <c r="J78" s="229">
        <f t="shared" si="88"/>
        <v>0.70002253775073253</v>
      </c>
      <c r="K78" s="229">
        <f t="shared" si="88"/>
        <v>0.74994301344882608</v>
      </c>
      <c r="L78" s="228">
        <f t="shared" si="88"/>
        <v>0.81998615278098319</v>
      </c>
      <c r="M78" s="228">
        <f t="shared" si="88"/>
        <v>0.88005711565920974</v>
      </c>
      <c r="N78" s="228">
        <f t="shared" si="88"/>
        <v>0.89995009980039919</v>
      </c>
      <c r="O78" s="228">
        <f t="shared" si="88"/>
        <v>0.92006319115323865</v>
      </c>
      <c r="P78" s="228">
        <f t="shared" si="88"/>
        <v>0.95018764926646204</v>
      </c>
      <c r="Q78" s="230">
        <f t="shared" si="88"/>
        <v>1</v>
      </c>
      <c r="R78" s="231">
        <f t="shared" ca="1" si="89"/>
        <v>0.89995009980039931</v>
      </c>
      <c r="S78" s="152"/>
      <c r="T78" s="152"/>
      <c r="U78" s="146"/>
      <c r="V78" s="227"/>
      <c r="W78" s="152"/>
      <c r="X78" s="227"/>
      <c r="AC78" s="164" t="s">
        <v>158</v>
      </c>
      <c r="AD78" s="164">
        <v>36</v>
      </c>
      <c r="AE78" s="165">
        <v>9</v>
      </c>
      <c r="AF78" s="165">
        <v>9</v>
      </c>
      <c r="AG78" s="165">
        <v>12</v>
      </c>
      <c r="AH78" s="164">
        <v>12</v>
      </c>
      <c r="AI78" s="164"/>
      <c r="AJ78" s="501"/>
      <c r="AK78" s="166">
        <f t="shared" ca="1" si="61"/>
        <v>38.965555555555568</v>
      </c>
      <c r="AL78" s="167">
        <f t="shared" ca="1" si="90"/>
        <v>8.3497619047619072</v>
      </c>
      <c r="AM78" s="167">
        <f t="shared" ca="1" si="91"/>
        <v>8.3497619047619072</v>
      </c>
      <c r="AN78" s="167">
        <f t="shared" ca="1" si="92"/>
        <v>11.133015873015875</v>
      </c>
      <c r="AO78" s="167">
        <f t="shared" ca="1" si="93"/>
        <v>11.133015873015875</v>
      </c>
      <c r="AP78" s="178"/>
      <c r="AQ78" s="169">
        <f t="shared" ca="1" si="64"/>
        <v>47.084000000000003</v>
      </c>
      <c r="AR78" s="170">
        <f ca="1">INDEX('Cap based on indoor unit SZ'!$J$6:$J$21,MATCH(AE78,'Cap based on indoor unit SZ'!$I$6:$I$21))</f>
        <v>10.463111111111111</v>
      </c>
      <c r="AS78" s="170">
        <f ca="1">INDEX('Cap based on indoor unit SZ'!$J$6:$J$21,MATCH(AF78,'Cap based on indoor unit SZ'!$I$6:$I$21))</f>
        <v>10.463111111111111</v>
      </c>
      <c r="AT78" s="170">
        <f ca="1">INDEX('Cap based on indoor unit SZ'!$J$6:$J$21,MATCH(AG78,'Cap based on indoor unit SZ'!$I$6:$I$21))</f>
        <v>13.078888888888891</v>
      </c>
      <c r="AU78" s="170">
        <f ca="1">INDEX('Cap based on indoor unit SZ'!$J$6:$J$21,MATCH(AH78,'Cap based on indoor unit SZ'!$I$6:$I$21))</f>
        <v>13.078888888888891</v>
      </c>
      <c r="AV78" s="179"/>
      <c r="AW78" s="169">
        <f t="shared" si="65"/>
        <v>42</v>
      </c>
      <c r="AX78" s="170">
        <v>9</v>
      </c>
      <c r="AY78" s="170">
        <v>9</v>
      </c>
      <c r="AZ78" s="170">
        <v>12</v>
      </c>
      <c r="BA78" s="170">
        <v>12</v>
      </c>
      <c r="BB78" s="179"/>
      <c r="BC78" s="172">
        <f t="shared" ca="1" si="66"/>
        <v>38.965555555555568</v>
      </c>
      <c r="BD78" s="173">
        <f t="shared" ca="1" si="94"/>
        <v>8.3497619047619072</v>
      </c>
      <c r="BE78" s="173">
        <f t="shared" ca="1" si="94"/>
        <v>8.3497619047619072</v>
      </c>
      <c r="BF78" s="173">
        <f t="shared" ca="1" si="94"/>
        <v>11.133015873015875</v>
      </c>
      <c r="BG78" s="173">
        <f t="shared" ca="1" si="94"/>
        <v>11.133015873015875</v>
      </c>
      <c r="BH78" s="180"/>
      <c r="BI78" s="166">
        <f t="shared" ca="1" si="69"/>
        <v>48.700273504273504</v>
      </c>
      <c r="BJ78" s="167">
        <f t="shared" ca="1" si="95"/>
        <v>10.435772893772894</v>
      </c>
      <c r="BK78" s="167">
        <f t="shared" ca="1" si="96"/>
        <v>10.435772893772894</v>
      </c>
      <c r="BL78" s="167">
        <f t="shared" ca="1" si="97"/>
        <v>13.914363858363858</v>
      </c>
      <c r="BM78" s="167">
        <f t="shared" ca="1" si="98"/>
        <v>13.914363858363858</v>
      </c>
      <c r="BN78" s="178"/>
      <c r="BO78" s="169">
        <f t="shared" ca="1" si="72"/>
        <v>53.802092307692305</v>
      </c>
      <c r="BP78" s="170">
        <f ca="1">INDEX('Cap based on indoor unit SZ'!$V$43:$V$58,MATCH(AE78,'Cap based on indoor unit SZ'!$U$43:$U$58))</f>
        <v>11.956020512820512</v>
      </c>
      <c r="BQ78" s="170">
        <f ca="1">INDEX('Cap based on indoor unit SZ'!$V$43:$V$58,MATCH(AF78,'Cap based on indoor unit SZ'!$U$43:$U$58))</f>
        <v>11.956020512820512</v>
      </c>
      <c r="BR78" s="170">
        <f ca="1">INDEX('Cap based on indoor unit SZ'!$V$43:$V$58,MATCH(AG78,'Cap based on indoor unit SZ'!$U$43:$U$58))</f>
        <v>14.945025641025641</v>
      </c>
      <c r="BS78" s="170">
        <f ca="1">INDEX('Cap based on indoor unit SZ'!$V$43:$V$58,MATCH(AH78,'Cap based on indoor unit SZ'!$U$43:$U$58))</f>
        <v>14.945025641025641</v>
      </c>
      <c r="BT78" s="179"/>
      <c r="BU78" s="175">
        <v>9500</v>
      </c>
      <c r="BV78" s="175">
        <v>9500</v>
      </c>
      <c r="BW78" s="175">
        <v>13000</v>
      </c>
      <c r="BX78" s="175">
        <v>13000</v>
      </c>
      <c r="BY78" s="179"/>
      <c r="BZ78" s="172">
        <f t="shared" ca="1" si="73"/>
        <v>48.700273504273504</v>
      </c>
      <c r="CA78" s="173">
        <f t="shared" ca="1" si="99"/>
        <v>10.435772893772894</v>
      </c>
      <c r="CB78" s="173">
        <f t="shared" ca="1" si="100"/>
        <v>10.435772893772894</v>
      </c>
      <c r="CC78" s="173">
        <f t="shared" ca="1" si="101"/>
        <v>13.914363858363858</v>
      </c>
      <c r="CD78" s="173">
        <f t="shared" ca="1" si="102"/>
        <v>13.914363858363858</v>
      </c>
      <c r="CE78" s="180"/>
      <c r="CF78" s="166">
        <f t="shared" ca="1" si="76"/>
        <v>28.706992952280018</v>
      </c>
      <c r="CG78" s="167">
        <f t="shared" ca="1" si="77"/>
        <v>6.1514984897742906</v>
      </c>
      <c r="CH78" s="167">
        <f t="shared" ca="1" si="77"/>
        <v>6.1514984897742906</v>
      </c>
      <c r="CI78" s="167">
        <f t="shared" ca="1" si="77"/>
        <v>8.2019979863657202</v>
      </c>
      <c r="CJ78" s="167">
        <f t="shared" ca="1" si="77"/>
        <v>8.2019979863657202</v>
      </c>
      <c r="CK78" s="178"/>
    </row>
    <row r="79" spans="2:89">
      <c r="B79" s="188">
        <v>36</v>
      </c>
      <c r="C79" s="189">
        <v>69.8</v>
      </c>
      <c r="D79" s="189">
        <v>59</v>
      </c>
      <c r="E79" s="190" t="s">
        <v>109</v>
      </c>
      <c r="F79" s="219">
        <f t="shared" si="88"/>
        <v>0.70011148272017831</v>
      </c>
      <c r="G79" s="220">
        <f t="shared" si="88"/>
        <v>0.70002734481815698</v>
      </c>
      <c r="H79" s="220">
        <f t="shared" si="88"/>
        <v>0.70013831258644532</v>
      </c>
      <c r="I79" s="220">
        <f t="shared" si="88"/>
        <v>0.70008149959250199</v>
      </c>
      <c r="J79" s="220">
        <f t="shared" si="88"/>
        <v>0.70010758472296941</v>
      </c>
      <c r="K79" s="220">
        <f t="shared" si="88"/>
        <v>0.70013106159895155</v>
      </c>
      <c r="L79" s="219">
        <f t="shared" si="88"/>
        <v>0.74993521637729976</v>
      </c>
      <c r="M79" s="219">
        <f t="shared" si="88"/>
        <v>0.76810344827586219</v>
      </c>
      <c r="N79" s="219">
        <f t="shared" si="88"/>
        <v>0.8</v>
      </c>
      <c r="O79" s="219">
        <f t="shared" si="88"/>
        <v>0.87894937190711842</v>
      </c>
      <c r="P79" s="219">
        <f t="shared" si="88"/>
        <v>0.99668737060041412</v>
      </c>
      <c r="Q79" s="221">
        <f t="shared" si="88"/>
        <v>1</v>
      </c>
      <c r="R79" s="222">
        <f t="shared" ca="1" si="89"/>
        <v>0.8</v>
      </c>
      <c r="S79" s="152"/>
      <c r="T79" s="152"/>
      <c r="U79" s="146" t="s">
        <v>96</v>
      </c>
      <c r="V79" s="150">
        <f ca="1">FORECAST(INDOOR_DB,OFFSET(R79:R82,MATCH(INDOOR_DB,C79:C82,1)-1,0,2),OFFSET(C79:C82,MATCH(INDOOR_DB,C79:C82,1)-1,0,2))</f>
        <v>0.73672741330097846</v>
      </c>
      <c r="W79" s="145">
        <f>B79</f>
        <v>36</v>
      </c>
      <c r="X79" s="150">
        <f ca="1">IF(OR(INDOOR_DB&lt;C79,INDOOR_DB&gt;C82),V81,V79)</f>
        <v>0.73672741330097846</v>
      </c>
      <c r="AC79" s="164" t="s">
        <v>157</v>
      </c>
      <c r="AD79" s="164">
        <v>36</v>
      </c>
      <c r="AE79" s="165">
        <v>9</v>
      </c>
      <c r="AF79" s="165">
        <v>9</v>
      </c>
      <c r="AG79" s="165">
        <v>12</v>
      </c>
      <c r="AH79" s="164">
        <v>18</v>
      </c>
      <c r="AI79" s="164"/>
      <c r="AJ79" s="501"/>
      <c r="AK79" s="166">
        <f t="shared" ca="1" si="61"/>
        <v>38.965555555555561</v>
      </c>
      <c r="AL79" s="167">
        <f t="shared" ca="1" si="90"/>
        <v>7.3060416666666681</v>
      </c>
      <c r="AM79" s="167">
        <f t="shared" ca="1" si="91"/>
        <v>7.3060416666666681</v>
      </c>
      <c r="AN79" s="167">
        <f t="shared" ca="1" si="92"/>
        <v>9.7413888888888902</v>
      </c>
      <c r="AO79" s="167">
        <f t="shared" ca="1" si="93"/>
        <v>14.612083333333336</v>
      </c>
      <c r="AP79" s="178"/>
      <c r="AQ79" s="169">
        <f t="shared" ca="1" si="64"/>
        <v>53.826222222222228</v>
      </c>
      <c r="AR79" s="170">
        <f ca="1">INDEX('Cap based on indoor unit SZ'!$J$6:$J$21,MATCH(AE79,'Cap based on indoor unit SZ'!$I$6:$I$21))</f>
        <v>10.463111111111111</v>
      </c>
      <c r="AS79" s="170">
        <f ca="1">INDEX('Cap based on indoor unit SZ'!$J$6:$J$21,MATCH(AF79,'Cap based on indoor unit SZ'!$I$6:$I$21))</f>
        <v>10.463111111111111</v>
      </c>
      <c r="AT79" s="170">
        <f ca="1">INDEX('Cap based on indoor unit SZ'!$J$6:$J$21,MATCH(AG79,'Cap based on indoor unit SZ'!$I$6:$I$21))</f>
        <v>13.078888888888891</v>
      </c>
      <c r="AU79" s="170">
        <f ca="1">INDEX('Cap based on indoor unit SZ'!$J$6:$J$21,MATCH(AH79,'Cap based on indoor unit SZ'!$I$6:$I$21))</f>
        <v>19.821111111111112</v>
      </c>
      <c r="AV79" s="179"/>
      <c r="AW79" s="169">
        <f t="shared" si="65"/>
        <v>45</v>
      </c>
      <c r="AX79" s="170">
        <v>9</v>
      </c>
      <c r="AY79" s="170">
        <v>9</v>
      </c>
      <c r="AZ79" s="170">
        <v>10.5</v>
      </c>
      <c r="BA79" s="170">
        <v>16.5</v>
      </c>
      <c r="BB79" s="179"/>
      <c r="BC79" s="172">
        <f t="shared" ca="1" si="66"/>
        <v>38.965555555555561</v>
      </c>
      <c r="BD79" s="173">
        <f t="shared" ca="1" si="94"/>
        <v>7.3060416666666681</v>
      </c>
      <c r="BE79" s="173">
        <f t="shared" ca="1" si="94"/>
        <v>7.3060416666666681</v>
      </c>
      <c r="BF79" s="173">
        <f t="shared" ca="1" si="94"/>
        <v>9.7413888888888902</v>
      </c>
      <c r="BG79" s="173">
        <f t="shared" ca="1" si="94"/>
        <v>14.612083333333336</v>
      </c>
      <c r="BH79" s="180"/>
      <c r="BI79" s="166">
        <f t="shared" ca="1" si="69"/>
        <v>48.700273504273497</v>
      </c>
      <c r="BJ79" s="167">
        <f t="shared" ca="1" si="95"/>
        <v>9.1313012820512807</v>
      </c>
      <c r="BK79" s="167">
        <f t="shared" ca="1" si="96"/>
        <v>9.1313012820512807</v>
      </c>
      <c r="BL79" s="167">
        <f t="shared" ca="1" si="97"/>
        <v>12.175068376068374</v>
      </c>
      <c r="BM79" s="167">
        <f t="shared" ca="1" si="98"/>
        <v>18.262602564102561</v>
      </c>
      <c r="BN79" s="178"/>
      <c r="BO79" s="169">
        <f t="shared" ca="1" si="72"/>
        <v>63.455887179487178</v>
      </c>
      <c r="BP79" s="170">
        <f ca="1">INDEX('Cap based on indoor unit SZ'!$V$43:$V$58,MATCH(AE79,'Cap based on indoor unit SZ'!$U$43:$U$58))</f>
        <v>11.956020512820512</v>
      </c>
      <c r="BQ79" s="170">
        <f ca="1">INDEX('Cap based on indoor unit SZ'!$V$43:$V$58,MATCH(AF79,'Cap based on indoor unit SZ'!$U$43:$U$58))</f>
        <v>11.956020512820512</v>
      </c>
      <c r="BR79" s="170">
        <f ca="1">INDEX('Cap based on indoor unit SZ'!$V$43:$V$58,MATCH(AG79,'Cap based on indoor unit SZ'!$U$43:$U$58))</f>
        <v>14.945025641025641</v>
      </c>
      <c r="BS79" s="170">
        <f ca="1">INDEX('Cap based on indoor unit SZ'!$V$43:$V$58,MATCH(AH79,'Cap based on indoor unit SZ'!$U$43:$U$58))</f>
        <v>24.598820512820513</v>
      </c>
      <c r="BT79" s="179"/>
      <c r="BU79" s="175">
        <v>9500</v>
      </c>
      <c r="BV79" s="175">
        <v>9500</v>
      </c>
      <c r="BW79" s="175">
        <v>11500</v>
      </c>
      <c r="BX79" s="175">
        <v>17500</v>
      </c>
      <c r="BY79" s="179"/>
      <c r="BZ79" s="172">
        <f t="shared" ca="1" si="73"/>
        <v>48.700273504273497</v>
      </c>
      <c r="CA79" s="173">
        <f t="shared" ca="1" si="99"/>
        <v>9.1313012820512807</v>
      </c>
      <c r="CB79" s="173">
        <f t="shared" ca="1" si="100"/>
        <v>9.1313012820512807</v>
      </c>
      <c r="CC79" s="173">
        <f t="shared" ca="1" si="101"/>
        <v>12.175068376068374</v>
      </c>
      <c r="CD79" s="173">
        <f t="shared" ca="1" si="102"/>
        <v>18.262602564102561</v>
      </c>
      <c r="CE79" s="180"/>
      <c r="CF79" s="166">
        <f t="shared" ca="1" si="76"/>
        <v>28.706992952280018</v>
      </c>
      <c r="CG79" s="167">
        <f t="shared" ca="1" si="77"/>
        <v>5.3825611785525043</v>
      </c>
      <c r="CH79" s="167">
        <f t="shared" ca="1" si="77"/>
        <v>5.3825611785525043</v>
      </c>
      <c r="CI79" s="167">
        <f t="shared" ca="1" si="77"/>
        <v>7.1767482380700045</v>
      </c>
      <c r="CJ79" s="167">
        <f t="shared" ca="1" si="77"/>
        <v>10.765122357105009</v>
      </c>
      <c r="CK79" s="178"/>
    </row>
    <row r="80" spans="2:89">
      <c r="B80" s="196">
        <v>36</v>
      </c>
      <c r="C80" s="197">
        <v>75.2</v>
      </c>
      <c r="D80" s="197">
        <v>62.6</v>
      </c>
      <c r="E80" s="198" t="s">
        <v>109</v>
      </c>
      <c r="F80" s="223">
        <f t="shared" si="88"/>
        <v>0.72987616099071206</v>
      </c>
      <c r="G80" s="224">
        <f t="shared" si="88"/>
        <v>0.72987341772151892</v>
      </c>
      <c r="H80" s="224">
        <f t="shared" si="88"/>
        <v>0.73002049180327866</v>
      </c>
      <c r="I80" s="224">
        <f t="shared" si="88"/>
        <v>0.73006289308176098</v>
      </c>
      <c r="J80" s="224">
        <f t="shared" si="88"/>
        <v>0.73001245330012454</v>
      </c>
      <c r="K80" s="224">
        <f t="shared" si="88"/>
        <v>0.77014563106796108</v>
      </c>
      <c r="L80" s="223">
        <f t="shared" si="88"/>
        <v>0.8298944337811901</v>
      </c>
      <c r="M80" s="223">
        <f t="shared" si="88"/>
        <v>0.85018626929217667</v>
      </c>
      <c r="N80" s="223">
        <f t="shared" si="88"/>
        <v>0.86997977463160936</v>
      </c>
      <c r="O80" s="223">
        <f t="shared" si="88"/>
        <v>0.89989425449418403</v>
      </c>
      <c r="P80" s="223">
        <f t="shared" si="88"/>
        <v>1</v>
      </c>
      <c r="Q80" s="225">
        <f t="shared" si="88"/>
        <v>1</v>
      </c>
      <c r="R80" s="226">
        <f t="shared" ca="1" si="89"/>
        <v>0.86997977463160936</v>
      </c>
      <c r="S80" s="152"/>
      <c r="T80" s="152"/>
      <c r="U80" s="146"/>
      <c r="V80" s="151"/>
      <c r="W80" s="145"/>
      <c r="X80" s="227"/>
      <c r="AC80" s="164" t="s">
        <v>156</v>
      </c>
      <c r="AD80" s="164">
        <v>36</v>
      </c>
      <c r="AE80" s="165">
        <v>9</v>
      </c>
      <c r="AF80" s="165">
        <v>9</v>
      </c>
      <c r="AG80" s="165">
        <v>12</v>
      </c>
      <c r="AH80" s="164">
        <v>24</v>
      </c>
      <c r="AI80" s="164"/>
      <c r="AJ80" s="501"/>
      <c r="AK80" s="166">
        <f t="shared" ca="1" si="61"/>
        <v>38.965555555555561</v>
      </c>
      <c r="AL80" s="167">
        <f t="shared" ca="1" si="90"/>
        <v>6.4942592592592598</v>
      </c>
      <c r="AM80" s="167">
        <f t="shared" ca="1" si="91"/>
        <v>6.4942592592592598</v>
      </c>
      <c r="AN80" s="167">
        <f t="shared" ca="1" si="92"/>
        <v>8.6590123456790131</v>
      </c>
      <c r="AO80" s="167">
        <f t="shared" ca="1" si="93"/>
        <v>17.318024691358026</v>
      </c>
      <c r="AP80" s="178"/>
      <c r="AQ80" s="169">
        <f t="shared" ca="1" si="64"/>
        <v>58.457333333333331</v>
      </c>
      <c r="AR80" s="170">
        <f ca="1">INDEX('Cap based on indoor unit SZ'!$J$6:$J$21,MATCH(AE80,'Cap based on indoor unit SZ'!$I$6:$I$21))</f>
        <v>10.463111111111111</v>
      </c>
      <c r="AS80" s="170">
        <f ca="1">INDEX('Cap based on indoor unit SZ'!$J$6:$J$21,MATCH(AF80,'Cap based on indoor unit SZ'!$I$6:$I$21))</f>
        <v>10.463111111111111</v>
      </c>
      <c r="AT80" s="170">
        <f ca="1">INDEX('Cap based on indoor unit SZ'!$J$6:$J$21,MATCH(AG80,'Cap based on indoor unit SZ'!$I$6:$I$21))</f>
        <v>13.078888888888891</v>
      </c>
      <c r="AU80" s="170">
        <f ca="1">INDEX('Cap based on indoor unit SZ'!$J$6:$J$21,MATCH(AH80,'Cap based on indoor unit SZ'!$I$6:$I$21))</f>
        <v>24.452222222222218</v>
      </c>
      <c r="AV80" s="179"/>
      <c r="AW80" s="169">
        <f t="shared" si="65"/>
        <v>48</v>
      </c>
      <c r="AX80" s="170">
        <v>8.5</v>
      </c>
      <c r="AY80" s="170">
        <v>8.5</v>
      </c>
      <c r="AZ80" s="170">
        <v>10.5</v>
      </c>
      <c r="BA80" s="170">
        <v>20.5</v>
      </c>
      <c r="BB80" s="179"/>
      <c r="BC80" s="172">
        <f t="shared" ca="1" si="66"/>
        <v>38.965555555555561</v>
      </c>
      <c r="BD80" s="173">
        <f t="shared" ca="1" si="94"/>
        <v>6.4942592592592598</v>
      </c>
      <c r="BE80" s="173">
        <f t="shared" ca="1" si="94"/>
        <v>6.4942592592592598</v>
      </c>
      <c r="BF80" s="173">
        <f t="shared" ca="1" si="94"/>
        <v>8.6590123456790131</v>
      </c>
      <c r="BG80" s="173">
        <f t="shared" ca="1" si="94"/>
        <v>17.318024691358026</v>
      </c>
      <c r="BH80" s="180"/>
      <c r="BI80" s="166">
        <f t="shared" ca="1" si="69"/>
        <v>48.70027350427349</v>
      </c>
      <c r="BJ80" s="167">
        <f t="shared" ca="1" si="95"/>
        <v>8.1167122507122489</v>
      </c>
      <c r="BK80" s="167">
        <f t="shared" ca="1" si="96"/>
        <v>8.1167122507122489</v>
      </c>
      <c r="BL80" s="167">
        <f t="shared" ca="1" si="97"/>
        <v>10.822283000949664</v>
      </c>
      <c r="BM80" s="167">
        <f t="shared" ca="1" si="98"/>
        <v>21.644566001899328</v>
      </c>
      <c r="BN80" s="178"/>
      <c r="BO80" s="169">
        <f t="shared" ca="1" si="72"/>
        <v>69.147066666666674</v>
      </c>
      <c r="BP80" s="170">
        <f ca="1">INDEX('Cap based on indoor unit SZ'!$V$43:$V$58,MATCH(AE80,'Cap based on indoor unit SZ'!$U$43:$U$58))</f>
        <v>11.956020512820512</v>
      </c>
      <c r="BQ80" s="170">
        <f ca="1">INDEX('Cap based on indoor unit SZ'!$V$43:$V$58,MATCH(AF80,'Cap based on indoor unit SZ'!$U$43:$U$58))</f>
        <v>11.956020512820512</v>
      </c>
      <c r="BR80" s="170">
        <f ca="1">INDEX('Cap based on indoor unit SZ'!$V$43:$V$58,MATCH(AG80,'Cap based on indoor unit SZ'!$U$43:$U$58))</f>
        <v>14.945025641025641</v>
      </c>
      <c r="BS80" s="170">
        <f ca="1">INDEX('Cap based on indoor unit SZ'!$V$43:$V$58,MATCH(AH80,'Cap based on indoor unit SZ'!$U$43:$U$58))</f>
        <v>30.290000000000003</v>
      </c>
      <c r="BT80" s="179"/>
      <c r="BU80" s="175">
        <v>9000</v>
      </c>
      <c r="BV80" s="175">
        <v>9000</v>
      </c>
      <c r="BW80" s="175">
        <v>11000</v>
      </c>
      <c r="BX80" s="175">
        <v>21000</v>
      </c>
      <c r="BY80" s="179"/>
      <c r="BZ80" s="172">
        <f t="shared" ca="1" si="73"/>
        <v>48.70027350427349</v>
      </c>
      <c r="CA80" s="173">
        <f t="shared" ca="1" si="99"/>
        <v>8.1167122507122489</v>
      </c>
      <c r="CB80" s="173">
        <f t="shared" ca="1" si="100"/>
        <v>8.1167122507122489</v>
      </c>
      <c r="CC80" s="173">
        <f t="shared" ca="1" si="101"/>
        <v>10.822283000949664</v>
      </c>
      <c r="CD80" s="173">
        <f t="shared" ca="1" si="102"/>
        <v>21.644566001899328</v>
      </c>
      <c r="CE80" s="180"/>
      <c r="CF80" s="166">
        <f t="shared" ca="1" si="76"/>
        <v>28.706992952280018</v>
      </c>
      <c r="CG80" s="167">
        <f t="shared" ca="1" si="77"/>
        <v>4.7844988253800027</v>
      </c>
      <c r="CH80" s="167">
        <f t="shared" ca="1" si="77"/>
        <v>4.7844988253800027</v>
      </c>
      <c r="CI80" s="167">
        <f t="shared" ca="1" si="77"/>
        <v>6.3793317671733369</v>
      </c>
      <c r="CJ80" s="167">
        <f t="shared" ca="1" si="77"/>
        <v>12.758663534346674</v>
      </c>
      <c r="CK80" s="178"/>
    </row>
    <row r="81" spans="2:89">
      <c r="B81" s="196">
        <v>36</v>
      </c>
      <c r="C81" s="197">
        <v>80.599999999999994</v>
      </c>
      <c r="D81" s="197">
        <v>66.2</v>
      </c>
      <c r="E81" s="198" t="s">
        <v>109</v>
      </c>
      <c r="F81" s="223">
        <f t="shared" si="88"/>
        <v>0.69985286905345756</v>
      </c>
      <c r="G81" s="224">
        <f t="shared" si="88"/>
        <v>0.69995187680461979</v>
      </c>
      <c r="H81" s="224">
        <f t="shared" si="88"/>
        <v>0.70012121212121214</v>
      </c>
      <c r="I81" s="224">
        <f t="shared" si="88"/>
        <v>0.70011890606420935</v>
      </c>
      <c r="J81" s="224">
        <f t="shared" si="88"/>
        <v>0.69990570485619996</v>
      </c>
      <c r="K81" s="224">
        <f t="shared" si="88"/>
        <v>0.70009328358208955</v>
      </c>
      <c r="L81" s="223">
        <f t="shared" si="88"/>
        <v>0.7099428571428571</v>
      </c>
      <c r="M81" s="223">
        <f t="shared" si="88"/>
        <v>0.71980792316926778</v>
      </c>
      <c r="N81" s="223">
        <f t="shared" si="88"/>
        <v>0.72007086813464949</v>
      </c>
      <c r="O81" s="223">
        <f t="shared" si="88"/>
        <v>0.7859756097560977</v>
      </c>
      <c r="P81" s="223">
        <f t="shared" si="88"/>
        <v>0.99572509043077939</v>
      </c>
      <c r="Q81" s="225">
        <f t="shared" si="88"/>
        <v>1</v>
      </c>
      <c r="R81" s="226">
        <f t="shared" ca="1" si="89"/>
        <v>0.72007086813464949</v>
      </c>
      <c r="S81" s="152"/>
      <c r="T81" s="152"/>
      <c r="U81" s="146" t="s">
        <v>97</v>
      </c>
      <c r="V81" s="150">
        <f ca="1">TREND(R79:R82,C79:C82,INDOOR_DB)</f>
        <v>0.82634468267568062</v>
      </c>
      <c r="W81" s="145"/>
      <c r="X81" s="227"/>
      <c r="AC81" s="164" t="s">
        <v>155</v>
      </c>
      <c r="AD81" s="164">
        <v>36</v>
      </c>
      <c r="AE81" s="165">
        <v>9</v>
      </c>
      <c r="AF81" s="165">
        <v>9</v>
      </c>
      <c r="AG81" s="165">
        <v>18</v>
      </c>
      <c r="AH81" s="164">
        <v>18</v>
      </c>
      <c r="AI81" s="164"/>
      <c r="AJ81" s="501"/>
      <c r="AK81" s="166">
        <f t="shared" ca="1" si="61"/>
        <v>38.965555555555561</v>
      </c>
      <c r="AL81" s="167">
        <f t="shared" ca="1" si="90"/>
        <v>6.4942592592592598</v>
      </c>
      <c r="AM81" s="167">
        <f t="shared" ca="1" si="91"/>
        <v>6.4942592592592598</v>
      </c>
      <c r="AN81" s="167">
        <f t="shared" ca="1" si="92"/>
        <v>12.98851851851852</v>
      </c>
      <c r="AO81" s="167">
        <f t="shared" ca="1" si="93"/>
        <v>12.98851851851852</v>
      </c>
      <c r="AP81" s="178"/>
      <c r="AQ81" s="169">
        <f t="shared" ca="1" si="64"/>
        <v>60.568444444444438</v>
      </c>
      <c r="AR81" s="170">
        <f ca="1">INDEX('Cap based on indoor unit SZ'!$J$6:$J$21,MATCH(AE81,'Cap based on indoor unit SZ'!$I$6:$I$21))</f>
        <v>10.463111111111111</v>
      </c>
      <c r="AS81" s="170">
        <f ca="1">INDEX('Cap based on indoor unit SZ'!$J$6:$J$21,MATCH(AF81,'Cap based on indoor unit SZ'!$I$6:$I$21))</f>
        <v>10.463111111111111</v>
      </c>
      <c r="AT81" s="170">
        <f ca="1">INDEX('Cap based on indoor unit SZ'!$J$6:$J$21,MATCH(AG81,'Cap based on indoor unit SZ'!$I$6:$I$21))</f>
        <v>19.821111111111112</v>
      </c>
      <c r="AU81" s="170">
        <f ca="1">INDEX('Cap based on indoor unit SZ'!$J$6:$J$21,MATCH(AH81,'Cap based on indoor unit SZ'!$I$6:$I$21))</f>
        <v>19.821111111111112</v>
      </c>
      <c r="AV81" s="179"/>
      <c r="AW81" s="169">
        <f t="shared" si="65"/>
        <v>48</v>
      </c>
      <c r="AX81" s="170">
        <v>8.5</v>
      </c>
      <c r="AY81" s="170">
        <v>8.5</v>
      </c>
      <c r="AZ81" s="170">
        <v>15.5</v>
      </c>
      <c r="BA81" s="170">
        <v>15.5</v>
      </c>
      <c r="BB81" s="179"/>
      <c r="BC81" s="172">
        <f t="shared" ca="1" si="66"/>
        <v>38.965555555555561</v>
      </c>
      <c r="BD81" s="173">
        <f t="shared" ca="1" si="94"/>
        <v>6.4942592592592598</v>
      </c>
      <c r="BE81" s="173">
        <f t="shared" ca="1" si="94"/>
        <v>6.4942592592592598</v>
      </c>
      <c r="BF81" s="173">
        <f t="shared" ca="1" si="94"/>
        <v>12.98851851851852</v>
      </c>
      <c r="BG81" s="173">
        <f t="shared" ca="1" si="94"/>
        <v>12.98851851851852</v>
      </c>
      <c r="BH81" s="180"/>
      <c r="BI81" s="166">
        <f t="shared" ca="1" si="69"/>
        <v>48.700273504273497</v>
      </c>
      <c r="BJ81" s="167">
        <f t="shared" ca="1" si="95"/>
        <v>8.1167122507122489</v>
      </c>
      <c r="BK81" s="167">
        <f t="shared" ca="1" si="96"/>
        <v>8.1167122507122489</v>
      </c>
      <c r="BL81" s="167">
        <f t="shared" ca="1" si="97"/>
        <v>16.233424501424498</v>
      </c>
      <c r="BM81" s="167">
        <f t="shared" ca="1" si="98"/>
        <v>16.233424501424498</v>
      </c>
      <c r="BN81" s="178"/>
      <c r="BO81" s="169">
        <f t="shared" ca="1" si="72"/>
        <v>73.10968205128205</v>
      </c>
      <c r="BP81" s="170">
        <f ca="1">INDEX('Cap based on indoor unit SZ'!$V$43:$V$58,MATCH(AE81,'Cap based on indoor unit SZ'!$U$43:$U$58))</f>
        <v>11.956020512820512</v>
      </c>
      <c r="BQ81" s="170">
        <f ca="1">INDEX('Cap based on indoor unit SZ'!$V$43:$V$58,MATCH(AF81,'Cap based on indoor unit SZ'!$U$43:$U$58))</f>
        <v>11.956020512820512</v>
      </c>
      <c r="BR81" s="170">
        <f ca="1">INDEX('Cap based on indoor unit SZ'!$V$43:$V$58,MATCH(AG81,'Cap based on indoor unit SZ'!$U$43:$U$58))</f>
        <v>24.598820512820513</v>
      </c>
      <c r="BS81" s="170">
        <f ca="1">INDEX('Cap based on indoor unit SZ'!$V$43:$V$58,MATCH(AH81,'Cap based on indoor unit SZ'!$U$43:$U$58))</f>
        <v>24.598820512820513</v>
      </c>
      <c r="BT81" s="179"/>
      <c r="BU81" s="175">
        <v>9000</v>
      </c>
      <c r="BV81" s="175">
        <v>9000</v>
      </c>
      <c r="BW81" s="175">
        <v>16000</v>
      </c>
      <c r="BX81" s="175">
        <v>16000</v>
      </c>
      <c r="BY81" s="179"/>
      <c r="BZ81" s="172">
        <f t="shared" ca="1" si="73"/>
        <v>48.700273504273497</v>
      </c>
      <c r="CA81" s="173">
        <f t="shared" ca="1" si="99"/>
        <v>8.1167122507122489</v>
      </c>
      <c r="CB81" s="173">
        <f t="shared" ca="1" si="100"/>
        <v>8.1167122507122489</v>
      </c>
      <c r="CC81" s="173">
        <f t="shared" ca="1" si="101"/>
        <v>16.233424501424498</v>
      </c>
      <c r="CD81" s="173">
        <f t="shared" ca="1" si="102"/>
        <v>16.233424501424498</v>
      </c>
      <c r="CE81" s="180"/>
      <c r="CF81" s="166">
        <f t="shared" ca="1" si="76"/>
        <v>28.706992952280018</v>
      </c>
      <c r="CG81" s="167">
        <f t="shared" ca="1" si="77"/>
        <v>4.7844988253800027</v>
      </c>
      <c r="CH81" s="167">
        <f t="shared" ca="1" si="77"/>
        <v>4.7844988253800027</v>
      </c>
      <c r="CI81" s="167">
        <f t="shared" ca="1" si="77"/>
        <v>9.5689976507600054</v>
      </c>
      <c r="CJ81" s="167">
        <f t="shared" ca="1" si="77"/>
        <v>9.5689976507600054</v>
      </c>
      <c r="CK81" s="178"/>
    </row>
    <row r="82" spans="2:89" ht="14.4" thickBot="1">
      <c r="B82" s="204">
        <v>36</v>
      </c>
      <c r="C82" s="205">
        <v>89.6</v>
      </c>
      <c r="D82" s="205">
        <v>73.400000000000006</v>
      </c>
      <c r="E82" s="206" t="s">
        <v>109</v>
      </c>
      <c r="F82" s="228">
        <f t="shared" si="88"/>
        <v>0.73984119570294249</v>
      </c>
      <c r="G82" s="229">
        <f t="shared" si="88"/>
        <v>0.73991750687442714</v>
      </c>
      <c r="H82" s="229">
        <f t="shared" si="88"/>
        <v>0.74001385361348404</v>
      </c>
      <c r="I82" s="229">
        <f t="shared" si="88"/>
        <v>0.73997734994337494</v>
      </c>
      <c r="J82" s="229">
        <f t="shared" si="88"/>
        <v>0.74000898069151333</v>
      </c>
      <c r="K82" s="229">
        <f t="shared" si="88"/>
        <v>0.78009773434029306</v>
      </c>
      <c r="L82" s="228">
        <f t="shared" si="88"/>
        <v>0.8299956464954289</v>
      </c>
      <c r="M82" s="228">
        <f t="shared" si="88"/>
        <v>0.86005030871255439</v>
      </c>
      <c r="N82" s="228">
        <f t="shared" si="88"/>
        <v>0.8999758978067004</v>
      </c>
      <c r="O82" s="228">
        <f t="shared" si="88"/>
        <v>0.9500580720092916</v>
      </c>
      <c r="P82" s="228">
        <f t="shared" si="88"/>
        <v>1</v>
      </c>
      <c r="Q82" s="230">
        <f t="shared" si="88"/>
        <v>1</v>
      </c>
      <c r="R82" s="231">
        <f t="shared" ca="1" si="89"/>
        <v>0.8999758978067004</v>
      </c>
      <c r="S82" s="152"/>
      <c r="T82" s="152"/>
      <c r="U82" s="146"/>
      <c r="V82" s="227"/>
      <c r="W82" s="152"/>
      <c r="X82" s="227"/>
      <c r="AC82" s="164" t="s">
        <v>154</v>
      </c>
      <c r="AD82" s="164">
        <v>36</v>
      </c>
      <c r="AE82" s="165">
        <v>9</v>
      </c>
      <c r="AF82" s="165">
        <v>9</v>
      </c>
      <c r="AG82" s="165">
        <v>18</v>
      </c>
      <c r="AH82" s="164">
        <v>24</v>
      </c>
      <c r="AI82" s="164"/>
      <c r="AJ82" s="501"/>
      <c r="AK82" s="166">
        <f t="shared" ca="1" si="61"/>
        <v>38.965555555555568</v>
      </c>
      <c r="AL82" s="167">
        <f t="shared" ca="1" si="90"/>
        <v>5.8448333333333347</v>
      </c>
      <c r="AM82" s="167">
        <f t="shared" ca="1" si="91"/>
        <v>5.8448333333333347</v>
      </c>
      <c r="AN82" s="167">
        <f t="shared" ca="1" si="92"/>
        <v>11.689666666666669</v>
      </c>
      <c r="AO82" s="167">
        <f t="shared" ca="1" si="93"/>
        <v>15.586222222222226</v>
      </c>
      <c r="AP82" s="178"/>
      <c r="AQ82" s="169">
        <f t="shared" ca="1" si="64"/>
        <v>65.199555555555548</v>
      </c>
      <c r="AR82" s="170">
        <f ca="1">INDEX('Cap based on indoor unit SZ'!$J$6:$J$21,MATCH(AE82,'Cap based on indoor unit SZ'!$I$6:$I$21))</f>
        <v>10.463111111111111</v>
      </c>
      <c r="AS82" s="170">
        <f ca="1">INDEX('Cap based on indoor unit SZ'!$J$6:$J$21,MATCH(AF82,'Cap based on indoor unit SZ'!$I$6:$I$21))</f>
        <v>10.463111111111111</v>
      </c>
      <c r="AT82" s="170">
        <f ca="1">INDEX('Cap based on indoor unit SZ'!$J$6:$J$21,MATCH(AG82,'Cap based on indoor unit SZ'!$I$6:$I$21))</f>
        <v>19.821111111111112</v>
      </c>
      <c r="AU82" s="170">
        <f ca="1">INDEX('Cap based on indoor unit SZ'!$J$6:$J$21,MATCH(AH82,'Cap based on indoor unit SZ'!$I$6:$I$21))</f>
        <v>24.452222222222218</v>
      </c>
      <c r="AV82" s="179"/>
      <c r="AW82" s="169">
        <f t="shared" si="65"/>
        <v>50.5</v>
      </c>
      <c r="AX82" s="170">
        <v>8</v>
      </c>
      <c r="AY82" s="170">
        <v>8</v>
      </c>
      <c r="AZ82" s="170">
        <v>14.5</v>
      </c>
      <c r="BA82" s="170">
        <v>20</v>
      </c>
      <c r="BB82" s="179"/>
      <c r="BC82" s="172">
        <f t="shared" ca="1" si="66"/>
        <v>38.965555555555568</v>
      </c>
      <c r="BD82" s="173">
        <f t="shared" ca="1" si="94"/>
        <v>5.8448333333333347</v>
      </c>
      <c r="BE82" s="173">
        <f t="shared" ca="1" si="94"/>
        <v>5.8448333333333347</v>
      </c>
      <c r="BF82" s="173">
        <f t="shared" ca="1" si="94"/>
        <v>11.689666666666669</v>
      </c>
      <c r="BG82" s="173">
        <f t="shared" ca="1" si="94"/>
        <v>15.586222222222226</v>
      </c>
      <c r="BH82" s="180"/>
      <c r="BI82" s="166">
        <f t="shared" ca="1" si="69"/>
        <v>48.700273504273497</v>
      </c>
      <c r="BJ82" s="167">
        <f t="shared" ca="1" si="95"/>
        <v>7.3050410256410254</v>
      </c>
      <c r="BK82" s="167">
        <f t="shared" ca="1" si="96"/>
        <v>7.3050410256410254</v>
      </c>
      <c r="BL82" s="167">
        <f t="shared" ca="1" si="97"/>
        <v>14.610082051282051</v>
      </c>
      <c r="BM82" s="167">
        <f t="shared" ca="1" si="98"/>
        <v>19.480109401709399</v>
      </c>
      <c r="BN82" s="178"/>
      <c r="BO82" s="169">
        <f t="shared" ca="1" si="72"/>
        <v>78.800861538461547</v>
      </c>
      <c r="BP82" s="170">
        <f ca="1">INDEX('Cap based on indoor unit SZ'!$V$43:$V$58,MATCH(AE82,'Cap based on indoor unit SZ'!$U$43:$U$58))</f>
        <v>11.956020512820512</v>
      </c>
      <c r="BQ82" s="170">
        <f ca="1">INDEX('Cap based on indoor unit SZ'!$V$43:$V$58,MATCH(AF82,'Cap based on indoor unit SZ'!$U$43:$U$58))</f>
        <v>11.956020512820512</v>
      </c>
      <c r="BR82" s="170">
        <f ca="1">INDEX('Cap based on indoor unit SZ'!$V$43:$V$58,MATCH(AG82,'Cap based on indoor unit SZ'!$U$43:$U$58))</f>
        <v>24.598820512820513</v>
      </c>
      <c r="BS82" s="170">
        <f ca="1">INDEX('Cap based on indoor unit SZ'!$V$43:$V$58,MATCH(AH82,'Cap based on indoor unit SZ'!$U$43:$U$58))</f>
        <v>30.290000000000003</v>
      </c>
      <c r="BT82" s="179"/>
      <c r="BU82" s="175">
        <v>8500</v>
      </c>
      <c r="BV82" s="175">
        <v>8500</v>
      </c>
      <c r="BW82" s="175">
        <v>15000</v>
      </c>
      <c r="BX82" s="175">
        <v>20000</v>
      </c>
      <c r="BY82" s="179"/>
      <c r="BZ82" s="172">
        <f t="shared" ca="1" si="73"/>
        <v>48.700273504273497</v>
      </c>
      <c r="CA82" s="173">
        <f t="shared" ca="1" si="99"/>
        <v>7.3050410256410254</v>
      </c>
      <c r="CB82" s="173">
        <f t="shared" ca="1" si="100"/>
        <v>7.3050410256410254</v>
      </c>
      <c r="CC82" s="173">
        <f t="shared" ca="1" si="101"/>
        <v>14.610082051282051</v>
      </c>
      <c r="CD82" s="173">
        <f t="shared" ca="1" si="102"/>
        <v>19.480109401709399</v>
      </c>
      <c r="CE82" s="180"/>
      <c r="CF82" s="166">
        <f t="shared" ca="1" si="76"/>
        <v>28.706992952280022</v>
      </c>
      <c r="CG82" s="167">
        <f t="shared" ca="1" si="77"/>
        <v>4.3060489428420032</v>
      </c>
      <c r="CH82" s="167">
        <f t="shared" ca="1" si="77"/>
        <v>4.3060489428420032</v>
      </c>
      <c r="CI82" s="167">
        <f t="shared" ca="1" si="77"/>
        <v>8.6120978856840065</v>
      </c>
      <c r="CJ82" s="167">
        <f t="shared" ca="1" si="77"/>
        <v>11.482797180912009</v>
      </c>
      <c r="CK82" s="178"/>
    </row>
    <row r="83" spans="2:89">
      <c r="B83" s="188">
        <v>48</v>
      </c>
      <c r="C83" s="189">
        <v>69.8</v>
      </c>
      <c r="D83" s="189">
        <v>59</v>
      </c>
      <c r="E83" s="190" t="s">
        <v>109</v>
      </c>
      <c r="F83" s="219">
        <f t="shared" ref="F83:Q86" si="103">F63/F43</f>
        <v>0.70017726006583936</v>
      </c>
      <c r="G83" s="220">
        <f t="shared" si="103"/>
        <v>0.7001242236024845</v>
      </c>
      <c r="H83" s="220">
        <f t="shared" si="103"/>
        <v>0.7000742390497402</v>
      </c>
      <c r="I83" s="220">
        <f t="shared" si="103"/>
        <v>0.70002446782481043</v>
      </c>
      <c r="J83" s="220">
        <f t="shared" si="103"/>
        <v>0.70004982561036377</v>
      </c>
      <c r="K83" s="220">
        <f t="shared" si="103"/>
        <v>0.73004637539663175</v>
      </c>
      <c r="L83" s="219">
        <f t="shared" si="103"/>
        <v>0.91652173913043478</v>
      </c>
      <c r="M83" s="219">
        <f t="shared" si="103"/>
        <v>0.92319708409268431</v>
      </c>
      <c r="N83" s="219">
        <f t="shared" si="103"/>
        <v>0.98212258796821783</v>
      </c>
      <c r="O83" s="219">
        <f t="shared" si="103"/>
        <v>0.98217695735200505</v>
      </c>
      <c r="P83" s="219">
        <f t="shared" si="103"/>
        <v>1</v>
      </c>
      <c r="Q83" s="221">
        <f t="shared" si="103"/>
        <v>1</v>
      </c>
      <c r="R83" s="226">
        <f t="shared" ca="1" si="89"/>
        <v>0.98212258796821783</v>
      </c>
      <c r="S83" s="152"/>
      <c r="T83" s="152"/>
      <c r="U83" s="146" t="s">
        <v>96</v>
      </c>
      <c r="V83" s="150">
        <f ca="1">FORECAST(INDOOR_DB,OFFSET(R83:R86,MATCH(INDOOR_DB,C83:C86,1)-1,0,2),OFFSET(C83:C86,MATCH(INDOOR_DB,C83:C86,1)-1,0,2))</f>
        <v>0.76337491725464268</v>
      </c>
      <c r="W83" s="145">
        <f>B83</f>
        <v>48</v>
      </c>
      <c r="X83" s="150">
        <f ca="1">IF(OR(INDOOR_DB&lt;C83,INDOOR_DB&gt;C86),V85,V83)</f>
        <v>0.76337491725464268</v>
      </c>
      <c r="AC83" s="164" t="s">
        <v>153</v>
      </c>
      <c r="AD83" s="164">
        <v>36</v>
      </c>
      <c r="AE83" s="165">
        <v>9</v>
      </c>
      <c r="AF83" s="165">
        <v>12</v>
      </c>
      <c r="AG83" s="165">
        <v>12</v>
      </c>
      <c r="AH83" s="164">
        <v>12</v>
      </c>
      <c r="AI83" s="164"/>
      <c r="AJ83" s="501"/>
      <c r="AK83" s="166">
        <f t="shared" ca="1" si="61"/>
        <v>38.965555555555568</v>
      </c>
      <c r="AL83" s="167">
        <f t="shared" ca="1" si="90"/>
        <v>7.7931111111111138</v>
      </c>
      <c r="AM83" s="167">
        <f t="shared" ca="1" si="91"/>
        <v>10.390814814814817</v>
      </c>
      <c r="AN83" s="167">
        <f t="shared" ca="1" si="92"/>
        <v>10.390814814814817</v>
      </c>
      <c r="AO83" s="167">
        <f t="shared" ca="1" si="93"/>
        <v>10.390814814814817</v>
      </c>
      <c r="AP83" s="178"/>
      <c r="AQ83" s="169">
        <f t="shared" ca="1" si="64"/>
        <v>49.699777777777783</v>
      </c>
      <c r="AR83" s="170">
        <f ca="1">INDEX('Cap based on indoor unit SZ'!$J$6:$J$21,MATCH(AE83,'Cap based on indoor unit SZ'!$I$6:$I$21))</f>
        <v>10.463111111111111</v>
      </c>
      <c r="AS83" s="170">
        <f ca="1">INDEX('Cap based on indoor unit SZ'!$J$6:$J$21,MATCH(AF83,'Cap based on indoor unit SZ'!$I$6:$I$21))</f>
        <v>13.078888888888891</v>
      </c>
      <c r="AT83" s="170">
        <f ca="1">INDEX('Cap based on indoor unit SZ'!$J$6:$J$21,MATCH(AG83,'Cap based on indoor unit SZ'!$I$6:$I$21))</f>
        <v>13.078888888888891</v>
      </c>
      <c r="AU83" s="170">
        <f ca="1">INDEX('Cap based on indoor unit SZ'!$J$6:$J$21,MATCH(AH83,'Cap based on indoor unit SZ'!$I$6:$I$21))</f>
        <v>13.078888888888891</v>
      </c>
      <c r="AV83" s="179"/>
      <c r="AW83" s="169">
        <f t="shared" si="65"/>
        <v>45</v>
      </c>
      <c r="AX83" s="170">
        <v>9</v>
      </c>
      <c r="AY83" s="170">
        <v>12</v>
      </c>
      <c r="AZ83" s="170">
        <v>12</v>
      </c>
      <c r="BA83" s="170">
        <v>12</v>
      </c>
      <c r="BB83" s="179"/>
      <c r="BC83" s="172">
        <f t="shared" ca="1" si="66"/>
        <v>38.965555555555568</v>
      </c>
      <c r="BD83" s="173">
        <f t="shared" ca="1" si="94"/>
        <v>7.7931111111111138</v>
      </c>
      <c r="BE83" s="173">
        <f t="shared" ca="1" si="94"/>
        <v>10.390814814814817</v>
      </c>
      <c r="BF83" s="173">
        <f t="shared" ca="1" si="94"/>
        <v>10.390814814814817</v>
      </c>
      <c r="BG83" s="173">
        <f t="shared" ca="1" si="94"/>
        <v>10.390814814814817</v>
      </c>
      <c r="BH83" s="180"/>
      <c r="BI83" s="166">
        <f t="shared" ca="1" si="69"/>
        <v>48.700273504273511</v>
      </c>
      <c r="BJ83" s="167">
        <f t="shared" ca="1" si="95"/>
        <v>9.7400547008547012</v>
      </c>
      <c r="BK83" s="167">
        <f t="shared" ca="1" si="96"/>
        <v>12.9867396011396</v>
      </c>
      <c r="BL83" s="167">
        <f t="shared" ca="1" si="97"/>
        <v>12.9867396011396</v>
      </c>
      <c r="BM83" s="167">
        <f t="shared" ca="1" si="98"/>
        <v>12.9867396011396</v>
      </c>
      <c r="BN83" s="178"/>
      <c r="BO83" s="169">
        <f t="shared" ca="1" si="72"/>
        <v>56.791097435897427</v>
      </c>
      <c r="BP83" s="170">
        <f ca="1">INDEX('Cap based on indoor unit SZ'!$V$43:$V$58,MATCH(AE83,'Cap based on indoor unit SZ'!$U$43:$U$58))</f>
        <v>11.956020512820512</v>
      </c>
      <c r="BQ83" s="170">
        <f ca="1">INDEX('Cap based on indoor unit SZ'!$V$43:$V$58,MATCH(AF83,'Cap based on indoor unit SZ'!$U$43:$U$58))</f>
        <v>14.945025641025641</v>
      </c>
      <c r="BR83" s="170">
        <f ca="1">INDEX('Cap based on indoor unit SZ'!$V$43:$V$58,MATCH(AG83,'Cap based on indoor unit SZ'!$U$43:$U$58))</f>
        <v>14.945025641025641</v>
      </c>
      <c r="BS83" s="170">
        <f ca="1">INDEX('Cap based on indoor unit SZ'!$V$43:$V$58,MATCH(AH83,'Cap based on indoor unit SZ'!$U$43:$U$58))</f>
        <v>14.945025641025641</v>
      </c>
      <c r="BT83" s="179"/>
      <c r="BU83" s="175">
        <v>9500</v>
      </c>
      <c r="BV83" s="175">
        <v>12500</v>
      </c>
      <c r="BW83" s="175">
        <v>12500</v>
      </c>
      <c r="BX83" s="175">
        <v>12500</v>
      </c>
      <c r="BY83" s="179"/>
      <c r="BZ83" s="172">
        <f t="shared" ca="1" si="73"/>
        <v>48.700273504273511</v>
      </c>
      <c r="CA83" s="173">
        <f t="shared" ca="1" si="99"/>
        <v>9.7400547008547012</v>
      </c>
      <c r="CB83" s="173">
        <f t="shared" ca="1" si="100"/>
        <v>12.9867396011396</v>
      </c>
      <c r="CC83" s="173">
        <f t="shared" ca="1" si="101"/>
        <v>12.9867396011396</v>
      </c>
      <c r="CD83" s="173">
        <f t="shared" ca="1" si="102"/>
        <v>12.9867396011396</v>
      </c>
      <c r="CE83" s="180"/>
      <c r="CF83" s="166">
        <f t="shared" ca="1" si="76"/>
        <v>28.706992952280022</v>
      </c>
      <c r="CG83" s="167">
        <f t="shared" ca="1" si="77"/>
        <v>5.7413985904560052</v>
      </c>
      <c r="CH83" s="167">
        <f t="shared" ca="1" si="77"/>
        <v>7.6551981206080058</v>
      </c>
      <c r="CI83" s="167">
        <f t="shared" ca="1" si="77"/>
        <v>7.6551981206080058</v>
      </c>
      <c r="CJ83" s="167">
        <f t="shared" ca="1" si="77"/>
        <v>7.6551981206080058</v>
      </c>
      <c r="CK83" s="178"/>
    </row>
    <row r="84" spans="2:89">
      <c r="B84" s="196">
        <v>48</v>
      </c>
      <c r="C84" s="197">
        <v>75.2</v>
      </c>
      <c r="D84" s="197">
        <v>62.6</v>
      </c>
      <c r="E84" s="198" t="s">
        <v>109</v>
      </c>
      <c r="F84" s="223">
        <f t="shared" si="103"/>
        <v>0.72989449003517004</v>
      </c>
      <c r="G84" s="224">
        <f t="shared" si="103"/>
        <v>0.72992868645042563</v>
      </c>
      <c r="H84" s="224">
        <f t="shared" si="103"/>
        <v>0.73006416131988994</v>
      </c>
      <c r="I84" s="224">
        <f t="shared" si="103"/>
        <v>0.72995015858631618</v>
      </c>
      <c r="J84" s="224">
        <f t="shared" si="103"/>
        <v>0.73010380622837368</v>
      </c>
      <c r="K84" s="224">
        <f t="shared" si="103"/>
        <v>0.76994350282485879</v>
      </c>
      <c r="L84" s="223">
        <f t="shared" si="103"/>
        <v>0.82999769956291691</v>
      </c>
      <c r="M84" s="223">
        <f t="shared" si="103"/>
        <v>0.85004821600771463</v>
      </c>
      <c r="N84" s="223">
        <f t="shared" si="103"/>
        <v>0.86994219653179183</v>
      </c>
      <c r="O84" s="223">
        <f t="shared" si="103"/>
        <v>0.90008841732979661</v>
      </c>
      <c r="P84" s="223">
        <f t="shared" si="103"/>
        <v>1</v>
      </c>
      <c r="Q84" s="225">
        <f t="shared" si="103"/>
        <v>1</v>
      </c>
      <c r="R84" s="226">
        <f t="shared" ca="1" si="89"/>
        <v>0.86994219653179172</v>
      </c>
      <c r="S84" s="152"/>
      <c r="T84" s="152"/>
      <c r="U84" s="146"/>
      <c r="V84" s="151"/>
      <c r="W84" s="145"/>
      <c r="X84" s="227"/>
      <c r="AC84" s="164" t="s">
        <v>152</v>
      </c>
      <c r="AD84" s="164">
        <v>36</v>
      </c>
      <c r="AE84" s="165">
        <v>9</v>
      </c>
      <c r="AF84" s="165">
        <v>12</v>
      </c>
      <c r="AG84" s="165">
        <v>12</v>
      </c>
      <c r="AH84" s="164">
        <v>18</v>
      </c>
      <c r="AI84" s="164"/>
      <c r="AJ84" s="501"/>
      <c r="AK84" s="166">
        <f t="shared" ca="1" si="61"/>
        <v>38.965555555555561</v>
      </c>
      <c r="AL84" s="167">
        <f t="shared" ca="1" si="90"/>
        <v>6.8762745098039231</v>
      </c>
      <c r="AM84" s="167">
        <f t="shared" ca="1" si="91"/>
        <v>9.1683660130718962</v>
      </c>
      <c r="AN84" s="167">
        <f t="shared" ca="1" si="92"/>
        <v>9.1683660130718962</v>
      </c>
      <c r="AO84" s="167">
        <f t="shared" ca="1" si="93"/>
        <v>13.752549019607846</v>
      </c>
      <c r="AP84" s="178"/>
      <c r="AQ84" s="169">
        <f t="shared" ca="1" si="64"/>
        <v>56.442000000000007</v>
      </c>
      <c r="AR84" s="170">
        <f ca="1">INDEX('Cap based on indoor unit SZ'!$J$6:$J$21,MATCH(AE84,'Cap based on indoor unit SZ'!$I$6:$I$21))</f>
        <v>10.463111111111111</v>
      </c>
      <c r="AS84" s="170">
        <f ca="1">INDEX('Cap based on indoor unit SZ'!$J$6:$J$21,MATCH(AF84,'Cap based on indoor unit SZ'!$I$6:$I$21))</f>
        <v>13.078888888888891</v>
      </c>
      <c r="AT84" s="170">
        <f ca="1">INDEX('Cap based on indoor unit SZ'!$J$6:$J$21,MATCH(AG84,'Cap based on indoor unit SZ'!$I$6:$I$21))</f>
        <v>13.078888888888891</v>
      </c>
      <c r="AU84" s="170">
        <f ca="1">INDEX('Cap based on indoor unit SZ'!$J$6:$J$21,MATCH(AH84,'Cap based on indoor unit SZ'!$I$6:$I$21))</f>
        <v>19.821111111111112</v>
      </c>
      <c r="AV84" s="179"/>
      <c r="AW84" s="169">
        <f t="shared" si="65"/>
        <v>46</v>
      </c>
      <c r="AX84" s="170">
        <v>9</v>
      </c>
      <c r="AY84" s="170">
        <v>10.5</v>
      </c>
      <c r="AZ84" s="170">
        <v>10.5</v>
      </c>
      <c r="BA84" s="170">
        <v>16</v>
      </c>
      <c r="BB84" s="179"/>
      <c r="BC84" s="172">
        <f t="shared" ca="1" si="66"/>
        <v>38.965555555555561</v>
      </c>
      <c r="BD84" s="173">
        <f t="shared" ca="1" si="94"/>
        <v>6.8762745098039231</v>
      </c>
      <c r="BE84" s="173">
        <f t="shared" ca="1" si="94"/>
        <v>9.1683660130718962</v>
      </c>
      <c r="BF84" s="173">
        <f t="shared" ca="1" si="94"/>
        <v>9.1683660130718962</v>
      </c>
      <c r="BG84" s="173">
        <f t="shared" ca="1" si="94"/>
        <v>13.752549019607846</v>
      </c>
      <c r="BH84" s="180"/>
      <c r="BI84" s="166">
        <f t="shared" ca="1" si="69"/>
        <v>48.700273504273504</v>
      </c>
      <c r="BJ84" s="167">
        <f t="shared" ca="1" si="95"/>
        <v>8.5941659125188536</v>
      </c>
      <c r="BK84" s="167">
        <f t="shared" ca="1" si="96"/>
        <v>11.458887883358472</v>
      </c>
      <c r="BL84" s="167">
        <f t="shared" ca="1" si="97"/>
        <v>11.458887883358472</v>
      </c>
      <c r="BM84" s="167">
        <f t="shared" ca="1" si="98"/>
        <v>17.188331825037707</v>
      </c>
      <c r="BN84" s="178"/>
      <c r="BO84" s="169">
        <f t="shared" ca="1" si="72"/>
        <v>66.444892307692299</v>
      </c>
      <c r="BP84" s="170">
        <f ca="1">INDEX('Cap based on indoor unit SZ'!$V$43:$V$58,MATCH(AE84,'Cap based on indoor unit SZ'!$U$43:$U$58))</f>
        <v>11.956020512820512</v>
      </c>
      <c r="BQ84" s="170">
        <f ca="1">INDEX('Cap based on indoor unit SZ'!$V$43:$V$58,MATCH(AF84,'Cap based on indoor unit SZ'!$U$43:$U$58))</f>
        <v>14.945025641025641</v>
      </c>
      <c r="BR84" s="170">
        <f ca="1">INDEX('Cap based on indoor unit SZ'!$V$43:$V$58,MATCH(AG84,'Cap based on indoor unit SZ'!$U$43:$U$58))</f>
        <v>14.945025641025641</v>
      </c>
      <c r="BS84" s="170">
        <f ca="1">INDEX('Cap based on indoor unit SZ'!$V$43:$V$58,MATCH(AH84,'Cap based on indoor unit SZ'!$U$43:$U$58))</f>
        <v>24.598820512820513</v>
      </c>
      <c r="BT84" s="179"/>
      <c r="BU84" s="175">
        <v>9500</v>
      </c>
      <c r="BV84" s="175">
        <v>11500</v>
      </c>
      <c r="BW84" s="175">
        <v>11500</v>
      </c>
      <c r="BX84" s="175">
        <v>16500</v>
      </c>
      <c r="BY84" s="179"/>
      <c r="BZ84" s="172">
        <f t="shared" ca="1" si="73"/>
        <v>48.700273504273504</v>
      </c>
      <c r="CA84" s="173">
        <f t="shared" ca="1" si="99"/>
        <v>8.5941659125188536</v>
      </c>
      <c r="CB84" s="173">
        <f t="shared" ca="1" si="100"/>
        <v>11.458887883358472</v>
      </c>
      <c r="CC84" s="173">
        <f t="shared" ca="1" si="101"/>
        <v>11.458887883358472</v>
      </c>
      <c r="CD84" s="173">
        <f t="shared" ca="1" si="102"/>
        <v>17.188331825037707</v>
      </c>
      <c r="CE84" s="180"/>
      <c r="CF84" s="166">
        <f t="shared" ca="1" si="76"/>
        <v>28.706992952280018</v>
      </c>
      <c r="CG84" s="167">
        <f t="shared" ca="1" si="77"/>
        <v>5.0659399327552981</v>
      </c>
      <c r="CH84" s="167">
        <f t="shared" ca="1" si="77"/>
        <v>6.7545865770070632</v>
      </c>
      <c r="CI84" s="167">
        <f t="shared" ca="1" si="77"/>
        <v>6.7545865770070632</v>
      </c>
      <c r="CJ84" s="167">
        <f t="shared" ca="1" si="77"/>
        <v>10.131879865510596</v>
      </c>
      <c r="CK84" s="178"/>
    </row>
    <row r="85" spans="2:89">
      <c r="B85" s="196">
        <v>48</v>
      </c>
      <c r="C85" s="197">
        <v>80.599999999999994</v>
      </c>
      <c r="D85" s="197">
        <v>66.2</v>
      </c>
      <c r="E85" s="198" t="s">
        <v>109</v>
      </c>
      <c r="F85" s="223">
        <f t="shared" si="103"/>
        <v>0.70001931620629709</v>
      </c>
      <c r="G85" s="224">
        <f t="shared" si="103"/>
        <v>0.69996209249431385</v>
      </c>
      <c r="H85" s="224">
        <f t="shared" si="103"/>
        <v>0.69998110712261474</v>
      </c>
      <c r="I85" s="224">
        <f t="shared" si="103"/>
        <v>0.70009460737937557</v>
      </c>
      <c r="J85" s="224">
        <f t="shared" si="103"/>
        <v>0.70005724098454492</v>
      </c>
      <c r="K85" s="224">
        <f t="shared" si="103"/>
        <v>0.69996194824961944</v>
      </c>
      <c r="L85" s="223">
        <f t="shared" si="103"/>
        <v>0.70999048525214092</v>
      </c>
      <c r="M85" s="223">
        <f t="shared" si="103"/>
        <v>0.73000201491033634</v>
      </c>
      <c r="N85" s="223">
        <f t="shared" si="103"/>
        <v>0.75005400734499894</v>
      </c>
      <c r="O85" s="223">
        <f t="shared" si="103"/>
        <v>0.93268242548818081</v>
      </c>
      <c r="P85" s="223">
        <f t="shared" si="103"/>
        <v>0.97784463894967166</v>
      </c>
      <c r="Q85" s="225">
        <f t="shared" si="103"/>
        <v>1</v>
      </c>
      <c r="R85" s="226">
        <f t="shared" ca="1" si="89"/>
        <v>0.75005400734499883</v>
      </c>
      <c r="S85" s="152"/>
      <c r="T85" s="152"/>
      <c r="U85" s="146" t="s">
        <v>97</v>
      </c>
      <c r="V85" s="150">
        <f ca="1">TREND(R83:R86,C83:C86,INDOOR_DB)</f>
        <v>0.87047471487479078</v>
      </c>
      <c r="W85" s="145"/>
      <c r="X85" s="227"/>
      <c r="AC85" s="164" t="s">
        <v>151</v>
      </c>
      <c r="AD85" s="164">
        <v>36</v>
      </c>
      <c r="AE85" s="165">
        <v>9</v>
      </c>
      <c r="AF85" s="165">
        <v>12</v>
      </c>
      <c r="AG85" s="165">
        <v>12</v>
      </c>
      <c r="AH85" s="164">
        <v>24</v>
      </c>
      <c r="AI85" s="164"/>
      <c r="AJ85" s="501"/>
      <c r="AK85" s="166">
        <f t="shared" ca="1" si="61"/>
        <v>38.965555555555568</v>
      </c>
      <c r="AL85" s="167">
        <f t="shared" ca="1" si="90"/>
        <v>6.1524561403508793</v>
      </c>
      <c r="AM85" s="167">
        <f t="shared" ca="1" si="91"/>
        <v>8.2032748538011724</v>
      </c>
      <c r="AN85" s="167">
        <f t="shared" ca="1" si="92"/>
        <v>8.2032748538011724</v>
      </c>
      <c r="AO85" s="167">
        <f t="shared" ca="1" si="93"/>
        <v>16.406549707602345</v>
      </c>
      <c r="AP85" s="178"/>
      <c r="AQ85" s="169">
        <f t="shared" ca="1" si="64"/>
        <v>61.07311111111111</v>
      </c>
      <c r="AR85" s="170">
        <f ca="1">INDEX('Cap based on indoor unit SZ'!$J$6:$J$21,MATCH(AE85,'Cap based on indoor unit SZ'!$I$6:$I$21))</f>
        <v>10.463111111111111</v>
      </c>
      <c r="AS85" s="170">
        <f ca="1">INDEX('Cap based on indoor unit SZ'!$J$6:$J$21,MATCH(AF85,'Cap based on indoor unit SZ'!$I$6:$I$21))</f>
        <v>13.078888888888891</v>
      </c>
      <c r="AT85" s="170">
        <f ca="1">INDEX('Cap based on indoor unit SZ'!$J$6:$J$21,MATCH(AG85,'Cap based on indoor unit SZ'!$I$6:$I$21))</f>
        <v>13.078888888888891</v>
      </c>
      <c r="AU85" s="170">
        <f ca="1">INDEX('Cap based on indoor unit SZ'!$J$6:$J$21,MATCH(AH85,'Cap based on indoor unit SZ'!$I$6:$I$21))</f>
        <v>24.452222222222218</v>
      </c>
      <c r="AV85" s="179"/>
      <c r="AW85" s="169">
        <f t="shared" si="65"/>
        <v>48.5</v>
      </c>
      <c r="AX85" s="170">
        <v>8.5</v>
      </c>
      <c r="AY85" s="170">
        <v>10</v>
      </c>
      <c r="AZ85" s="170">
        <v>10</v>
      </c>
      <c r="BA85" s="170">
        <v>20</v>
      </c>
      <c r="BB85" s="179"/>
      <c r="BC85" s="172">
        <f t="shared" ca="1" si="66"/>
        <v>38.965555555555568</v>
      </c>
      <c r="BD85" s="173">
        <f t="shared" ca="1" si="94"/>
        <v>6.1524561403508793</v>
      </c>
      <c r="BE85" s="173">
        <f t="shared" ca="1" si="94"/>
        <v>8.2032748538011724</v>
      </c>
      <c r="BF85" s="173">
        <f t="shared" ca="1" si="94"/>
        <v>8.2032748538011724</v>
      </c>
      <c r="BG85" s="173">
        <f t="shared" ca="1" si="94"/>
        <v>16.406549707602345</v>
      </c>
      <c r="BH85" s="180"/>
      <c r="BI85" s="166">
        <f t="shared" ca="1" si="69"/>
        <v>48.700273504273497</v>
      </c>
      <c r="BJ85" s="167">
        <f t="shared" ca="1" si="95"/>
        <v>7.6895168690958169</v>
      </c>
      <c r="BK85" s="167">
        <f t="shared" ca="1" si="96"/>
        <v>10.252689158794421</v>
      </c>
      <c r="BL85" s="167">
        <f t="shared" ca="1" si="97"/>
        <v>10.252689158794421</v>
      </c>
      <c r="BM85" s="167">
        <f t="shared" ca="1" si="98"/>
        <v>20.505378317588843</v>
      </c>
      <c r="BN85" s="178"/>
      <c r="BO85" s="169">
        <f t="shared" ca="1" si="72"/>
        <v>72.136071794871796</v>
      </c>
      <c r="BP85" s="170">
        <f ca="1">INDEX('Cap based on indoor unit SZ'!$V$43:$V$58,MATCH(AE85,'Cap based on indoor unit SZ'!$U$43:$U$58))</f>
        <v>11.956020512820512</v>
      </c>
      <c r="BQ85" s="170">
        <f ca="1">INDEX('Cap based on indoor unit SZ'!$V$43:$V$58,MATCH(AF85,'Cap based on indoor unit SZ'!$U$43:$U$58))</f>
        <v>14.945025641025641</v>
      </c>
      <c r="BR85" s="170">
        <f ca="1">INDEX('Cap based on indoor unit SZ'!$V$43:$V$58,MATCH(AG85,'Cap based on indoor unit SZ'!$U$43:$U$58))</f>
        <v>14.945025641025641</v>
      </c>
      <c r="BS85" s="170">
        <f ca="1">INDEX('Cap based on indoor unit SZ'!$V$43:$V$58,MATCH(AH85,'Cap based on indoor unit SZ'!$U$43:$U$58))</f>
        <v>30.290000000000003</v>
      </c>
      <c r="BT85" s="179"/>
      <c r="BU85" s="175">
        <v>9000</v>
      </c>
      <c r="BV85" s="175">
        <v>10500</v>
      </c>
      <c r="BW85" s="175">
        <v>10500</v>
      </c>
      <c r="BX85" s="175">
        <v>20500</v>
      </c>
      <c r="BY85" s="179"/>
      <c r="BZ85" s="172">
        <f t="shared" ca="1" si="73"/>
        <v>48.700273504273497</v>
      </c>
      <c r="CA85" s="173">
        <f t="shared" ca="1" si="99"/>
        <v>7.6895168690958169</v>
      </c>
      <c r="CB85" s="173">
        <f t="shared" ca="1" si="100"/>
        <v>10.252689158794421</v>
      </c>
      <c r="CC85" s="173">
        <f t="shared" ca="1" si="101"/>
        <v>10.252689158794421</v>
      </c>
      <c r="CD85" s="173">
        <f t="shared" ca="1" si="102"/>
        <v>20.505378317588843</v>
      </c>
      <c r="CE85" s="180"/>
      <c r="CF85" s="166">
        <f t="shared" ca="1" si="76"/>
        <v>28.706992952280025</v>
      </c>
      <c r="CG85" s="167">
        <f t="shared" ca="1" si="77"/>
        <v>4.5326830977284249</v>
      </c>
      <c r="CH85" s="167">
        <f t="shared" ca="1" si="77"/>
        <v>6.0435774636378996</v>
      </c>
      <c r="CI85" s="167">
        <f t="shared" ca="1" si="77"/>
        <v>6.0435774636378996</v>
      </c>
      <c r="CJ85" s="167">
        <f t="shared" ca="1" si="77"/>
        <v>12.087154927275799</v>
      </c>
      <c r="CK85" s="178"/>
    </row>
    <row r="86" spans="2:89" ht="14.4" thickBot="1">
      <c r="B86" s="204">
        <v>48</v>
      </c>
      <c r="C86" s="205">
        <v>89.6</v>
      </c>
      <c r="D86" s="205">
        <v>73.400000000000006</v>
      </c>
      <c r="E86" s="206" t="s">
        <v>109</v>
      </c>
      <c r="F86" s="228">
        <f t="shared" si="103"/>
        <v>0.73988226637233256</v>
      </c>
      <c r="G86" s="229">
        <f t="shared" si="103"/>
        <v>0.73989169675090261</v>
      </c>
      <c r="H86" s="229">
        <f t="shared" si="103"/>
        <v>0.74001439366678667</v>
      </c>
      <c r="I86" s="229">
        <f t="shared" si="103"/>
        <v>0.73995314471075868</v>
      </c>
      <c r="J86" s="229">
        <f t="shared" si="103"/>
        <v>0.73996002180628739</v>
      </c>
      <c r="K86" s="229">
        <f t="shared" si="103"/>
        <v>0.7800326146040949</v>
      </c>
      <c r="L86" s="228">
        <f t="shared" si="103"/>
        <v>0.830010873504893</v>
      </c>
      <c r="M86" s="228">
        <f t="shared" si="103"/>
        <v>0.86010362694300524</v>
      </c>
      <c r="N86" s="228">
        <f t="shared" si="103"/>
        <v>0.9</v>
      </c>
      <c r="O86" s="228">
        <f t="shared" si="103"/>
        <v>0.94984095913873268</v>
      </c>
      <c r="P86" s="228">
        <f t="shared" si="103"/>
        <v>1</v>
      </c>
      <c r="Q86" s="230">
        <f t="shared" si="103"/>
        <v>1</v>
      </c>
      <c r="R86" s="231">
        <f t="shared" ca="1" si="89"/>
        <v>0.9</v>
      </c>
      <c r="S86" s="152"/>
      <c r="T86" s="152"/>
      <c r="U86" s="146"/>
      <c r="V86" s="152"/>
      <c r="W86" s="152"/>
      <c r="X86" s="152"/>
      <c r="AC86" s="164" t="s">
        <v>150</v>
      </c>
      <c r="AD86" s="164">
        <v>36</v>
      </c>
      <c r="AE86" s="165">
        <v>9</v>
      </c>
      <c r="AF86" s="165">
        <v>12</v>
      </c>
      <c r="AG86" s="165">
        <v>18</v>
      </c>
      <c r="AH86" s="164">
        <v>18</v>
      </c>
      <c r="AI86" s="164"/>
      <c r="AJ86" s="501"/>
      <c r="AK86" s="166">
        <f t="shared" ca="1" si="61"/>
        <v>38.965555555555561</v>
      </c>
      <c r="AL86" s="167">
        <f t="shared" ca="1" si="90"/>
        <v>6.1524561403508784</v>
      </c>
      <c r="AM86" s="167">
        <f t="shared" ca="1" si="91"/>
        <v>8.2032748538011706</v>
      </c>
      <c r="AN86" s="167">
        <f t="shared" ca="1" si="92"/>
        <v>12.304912280701757</v>
      </c>
      <c r="AO86" s="167">
        <f t="shared" ca="1" si="93"/>
        <v>12.304912280701757</v>
      </c>
      <c r="AP86" s="178"/>
      <c r="AQ86" s="169">
        <f t="shared" ca="1" si="64"/>
        <v>63.184222222222218</v>
      </c>
      <c r="AR86" s="170">
        <f ca="1">INDEX('Cap based on indoor unit SZ'!$J$6:$J$21,MATCH(AE86,'Cap based on indoor unit SZ'!$I$6:$I$21))</f>
        <v>10.463111111111111</v>
      </c>
      <c r="AS86" s="170">
        <f ca="1">INDEX('Cap based on indoor unit SZ'!$J$6:$J$21,MATCH(AF86,'Cap based on indoor unit SZ'!$I$6:$I$21))</f>
        <v>13.078888888888891</v>
      </c>
      <c r="AT86" s="170">
        <f ca="1">INDEX('Cap based on indoor unit SZ'!$J$6:$J$21,MATCH(AG86,'Cap based on indoor unit SZ'!$I$6:$I$21))</f>
        <v>19.821111111111112</v>
      </c>
      <c r="AU86" s="170">
        <f ca="1">INDEX('Cap based on indoor unit SZ'!$J$6:$J$21,MATCH(AH86,'Cap based on indoor unit SZ'!$I$6:$I$21))</f>
        <v>19.821111111111112</v>
      </c>
      <c r="AV86" s="179"/>
      <c r="AW86" s="169">
        <f t="shared" si="65"/>
        <v>48.5</v>
      </c>
      <c r="AX86" s="170">
        <v>8.5</v>
      </c>
      <c r="AY86" s="170">
        <v>10</v>
      </c>
      <c r="AZ86" s="170">
        <v>15</v>
      </c>
      <c r="BA86" s="170">
        <v>15</v>
      </c>
      <c r="BB86" s="179"/>
      <c r="BC86" s="172">
        <f t="shared" ca="1" si="66"/>
        <v>38.965555555555561</v>
      </c>
      <c r="BD86" s="173">
        <f t="shared" ca="1" si="94"/>
        <v>6.1524561403508784</v>
      </c>
      <c r="BE86" s="173">
        <f t="shared" ca="1" si="94"/>
        <v>8.2032748538011706</v>
      </c>
      <c r="BF86" s="173">
        <f t="shared" ca="1" si="94"/>
        <v>12.304912280701757</v>
      </c>
      <c r="BG86" s="173">
        <f t="shared" ca="1" si="94"/>
        <v>12.304912280701757</v>
      </c>
      <c r="BH86" s="180"/>
      <c r="BI86" s="166">
        <f t="shared" ca="1" si="69"/>
        <v>48.700273504273497</v>
      </c>
      <c r="BJ86" s="167">
        <f t="shared" ca="1" si="95"/>
        <v>7.689516869095816</v>
      </c>
      <c r="BK86" s="167">
        <f t="shared" ca="1" si="96"/>
        <v>10.252689158794421</v>
      </c>
      <c r="BL86" s="167">
        <f t="shared" ca="1" si="97"/>
        <v>15.379033738191632</v>
      </c>
      <c r="BM86" s="167">
        <f t="shared" ca="1" si="98"/>
        <v>15.379033738191632</v>
      </c>
      <c r="BN86" s="178"/>
      <c r="BO86" s="169">
        <f t="shared" ca="1" si="72"/>
        <v>76.098687179487172</v>
      </c>
      <c r="BP86" s="170">
        <f ca="1">INDEX('Cap based on indoor unit SZ'!$V$43:$V$58,MATCH(AE86,'Cap based on indoor unit SZ'!$U$43:$U$58))</f>
        <v>11.956020512820512</v>
      </c>
      <c r="BQ86" s="170">
        <f ca="1">INDEX('Cap based on indoor unit SZ'!$V$43:$V$58,MATCH(AF86,'Cap based on indoor unit SZ'!$U$43:$U$58))</f>
        <v>14.945025641025641</v>
      </c>
      <c r="BR86" s="170">
        <f ca="1">INDEX('Cap based on indoor unit SZ'!$V$43:$V$58,MATCH(AG86,'Cap based on indoor unit SZ'!$U$43:$U$58))</f>
        <v>24.598820512820513</v>
      </c>
      <c r="BS86" s="170">
        <f ca="1">INDEX('Cap based on indoor unit SZ'!$V$43:$V$58,MATCH(AH86,'Cap based on indoor unit SZ'!$U$43:$U$58))</f>
        <v>24.598820512820513</v>
      </c>
      <c r="BT86" s="179"/>
      <c r="BU86" s="175">
        <v>9000</v>
      </c>
      <c r="BV86" s="175">
        <v>10500</v>
      </c>
      <c r="BW86" s="175">
        <v>15500</v>
      </c>
      <c r="BX86" s="175">
        <v>15500</v>
      </c>
      <c r="BY86" s="179"/>
      <c r="BZ86" s="172">
        <f t="shared" ca="1" si="73"/>
        <v>48.700273504273497</v>
      </c>
      <c r="CA86" s="173">
        <f t="shared" ca="1" si="99"/>
        <v>7.689516869095816</v>
      </c>
      <c r="CB86" s="173">
        <f t="shared" ca="1" si="100"/>
        <v>10.252689158794421</v>
      </c>
      <c r="CC86" s="173">
        <f t="shared" ca="1" si="101"/>
        <v>15.379033738191632</v>
      </c>
      <c r="CD86" s="173">
        <f t="shared" ca="1" si="102"/>
        <v>15.379033738191632</v>
      </c>
      <c r="CE86" s="180"/>
      <c r="CF86" s="166">
        <f t="shared" ca="1" si="76"/>
        <v>28.706992952280018</v>
      </c>
      <c r="CG86" s="167">
        <f t="shared" ca="1" si="77"/>
        <v>4.532683097728424</v>
      </c>
      <c r="CH86" s="167">
        <f t="shared" ca="1" si="77"/>
        <v>6.0435774636378987</v>
      </c>
      <c r="CI86" s="167">
        <f t="shared" ca="1" si="77"/>
        <v>9.0653661954568481</v>
      </c>
      <c r="CJ86" s="167">
        <f t="shared" ca="1" si="77"/>
        <v>9.0653661954568481</v>
      </c>
      <c r="CK86" s="178"/>
    </row>
    <row r="87" spans="2:89">
      <c r="B87" s="284">
        <v>18</v>
      </c>
      <c r="C87" s="284">
        <v>69.8</v>
      </c>
      <c r="D87" s="284">
        <v>59</v>
      </c>
      <c r="E87" s="8" t="s">
        <v>17</v>
      </c>
      <c r="F87" s="8">
        <v>1.38</v>
      </c>
      <c r="G87" s="19">
        <v>1.41</v>
      </c>
      <c r="H87" s="19">
        <v>1.43</v>
      </c>
      <c r="I87" s="19">
        <v>1.46</v>
      </c>
      <c r="J87" s="19">
        <v>1.51</v>
      </c>
      <c r="K87" s="19">
        <v>1.54</v>
      </c>
      <c r="L87" s="2">
        <v>1.57</v>
      </c>
      <c r="M87" s="2">
        <v>1.71</v>
      </c>
      <c r="N87" s="2">
        <v>1.87</v>
      </c>
      <c r="O87" s="2">
        <v>1.43</v>
      </c>
      <c r="P87" s="2">
        <v>1.49</v>
      </c>
      <c r="Q87" s="2">
        <v>1.54</v>
      </c>
      <c r="R87" s="6"/>
      <c r="AC87" s="164" t="s">
        <v>149</v>
      </c>
      <c r="AD87" s="164">
        <v>36</v>
      </c>
      <c r="AE87" s="165">
        <v>9</v>
      </c>
      <c r="AF87" s="165">
        <v>18</v>
      </c>
      <c r="AG87" s="165">
        <v>18</v>
      </c>
      <c r="AH87" s="164">
        <v>18</v>
      </c>
      <c r="AI87" s="164"/>
      <c r="AJ87" s="501"/>
      <c r="AK87" s="166">
        <f t="shared" ca="1" si="61"/>
        <v>38.965555555555561</v>
      </c>
      <c r="AL87" s="167">
        <f t="shared" ca="1" si="90"/>
        <v>5.5665079365079375</v>
      </c>
      <c r="AM87" s="167">
        <f t="shared" ca="1" si="91"/>
        <v>11.133015873015875</v>
      </c>
      <c r="AN87" s="167">
        <f t="shared" ca="1" si="92"/>
        <v>11.133015873015875</v>
      </c>
      <c r="AO87" s="167">
        <f t="shared" ca="1" si="93"/>
        <v>11.133015873015875</v>
      </c>
      <c r="AP87" s="178"/>
      <c r="AQ87" s="169">
        <f t="shared" ca="1" si="64"/>
        <v>69.926444444444442</v>
      </c>
      <c r="AR87" s="170">
        <f ca="1">INDEX('Cap based on indoor unit SZ'!$J$6:$J$21,MATCH(AE87,'Cap based on indoor unit SZ'!$I$6:$I$21))</f>
        <v>10.463111111111111</v>
      </c>
      <c r="AS87" s="170">
        <f ca="1">INDEX('Cap based on indoor unit SZ'!$J$6:$J$21,MATCH(AF87,'Cap based on indoor unit SZ'!$I$6:$I$21))</f>
        <v>19.821111111111112</v>
      </c>
      <c r="AT87" s="170">
        <f ca="1">INDEX('Cap based on indoor unit SZ'!$J$6:$J$21,MATCH(AG87,'Cap based on indoor unit SZ'!$I$6:$I$21))</f>
        <v>19.821111111111112</v>
      </c>
      <c r="AU87" s="170">
        <f ca="1">INDEX('Cap based on indoor unit SZ'!$J$6:$J$21,MATCH(AH87,'Cap based on indoor unit SZ'!$I$6:$I$21))</f>
        <v>19.821111111111112</v>
      </c>
      <c r="AV87" s="179"/>
      <c r="AW87" s="169">
        <f t="shared" si="65"/>
        <v>50</v>
      </c>
      <c r="AX87" s="170">
        <v>8</v>
      </c>
      <c r="AY87" s="170">
        <v>14</v>
      </c>
      <c r="AZ87" s="170">
        <v>14</v>
      </c>
      <c r="BA87" s="170">
        <v>14</v>
      </c>
      <c r="BB87" s="179"/>
      <c r="BC87" s="172">
        <f t="shared" ca="1" si="66"/>
        <v>38.965555555555561</v>
      </c>
      <c r="BD87" s="173">
        <f t="shared" ca="1" si="94"/>
        <v>5.5665079365079375</v>
      </c>
      <c r="BE87" s="173">
        <f t="shared" ca="1" si="94"/>
        <v>11.133015873015875</v>
      </c>
      <c r="BF87" s="173">
        <f t="shared" ca="1" si="94"/>
        <v>11.133015873015875</v>
      </c>
      <c r="BG87" s="173">
        <f t="shared" ca="1" si="94"/>
        <v>11.133015873015875</v>
      </c>
      <c r="BH87" s="180"/>
      <c r="BI87" s="166">
        <f t="shared" ca="1" si="69"/>
        <v>48.700273504273497</v>
      </c>
      <c r="BJ87" s="167">
        <f t="shared" ca="1" si="95"/>
        <v>6.9571819291819281</v>
      </c>
      <c r="BK87" s="167">
        <f t="shared" ca="1" si="96"/>
        <v>13.914363858363856</v>
      </c>
      <c r="BL87" s="167">
        <f t="shared" ca="1" si="97"/>
        <v>13.914363858363856</v>
      </c>
      <c r="BM87" s="167">
        <f t="shared" ca="1" si="98"/>
        <v>13.914363858363856</v>
      </c>
      <c r="BN87" s="178"/>
      <c r="BO87" s="169">
        <f t="shared" ca="1" si="72"/>
        <v>85.752482051282044</v>
      </c>
      <c r="BP87" s="170">
        <f ca="1">INDEX('Cap based on indoor unit SZ'!$V$43:$V$58,MATCH(AE87,'Cap based on indoor unit SZ'!$U$43:$U$58))</f>
        <v>11.956020512820512</v>
      </c>
      <c r="BQ87" s="170">
        <f ca="1">INDEX('Cap based on indoor unit SZ'!$V$43:$V$58,MATCH(AF87,'Cap based on indoor unit SZ'!$U$43:$U$58))</f>
        <v>24.598820512820513</v>
      </c>
      <c r="BR87" s="170">
        <f ca="1">INDEX('Cap based on indoor unit SZ'!$V$43:$V$58,MATCH(AG87,'Cap based on indoor unit SZ'!$U$43:$U$58))</f>
        <v>24.598820512820513</v>
      </c>
      <c r="BS87" s="170">
        <f ca="1">INDEX('Cap based on indoor unit SZ'!$V$43:$V$58,MATCH(AH87,'Cap based on indoor unit SZ'!$U$43:$U$58))</f>
        <v>24.598820512820513</v>
      </c>
      <c r="BT87" s="179"/>
      <c r="BU87" s="175">
        <v>8500</v>
      </c>
      <c r="BV87" s="175">
        <v>14500</v>
      </c>
      <c r="BW87" s="175">
        <v>14500</v>
      </c>
      <c r="BX87" s="175">
        <v>14500</v>
      </c>
      <c r="BY87" s="179"/>
      <c r="BZ87" s="172">
        <f t="shared" ca="1" si="73"/>
        <v>48.700273504273497</v>
      </c>
      <c r="CA87" s="173">
        <f t="shared" ca="1" si="99"/>
        <v>6.9571819291819281</v>
      </c>
      <c r="CB87" s="173">
        <f t="shared" ca="1" si="100"/>
        <v>13.914363858363856</v>
      </c>
      <c r="CC87" s="173">
        <f t="shared" ca="1" si="101"/>
        <v>13.914363858363856</v>
      </c>
      <c r="CD87" s="173">
        <f t="shared" ca="1" si="102"/>
        <v>13.914363858363856</v>
      </c>
      <c r="CE87" s="180"/>
      <c r="CF87" s="166">
        <f t="shared" ca="1" si="76"/>
        <v>28.706992952280018</v>
      </c>
      <c r="CG87" s="167">
        <f t="shared" ca="1" si="77"/>
        <v>4.1009989931828601</v>
      </c>
      <c r="CH87" s="167">
        <f t="shared" ca="1" si="77"/>
        <v>8.2019979863657202</v>
      </c>
      <c r="CI87" s="167">
        <f t="shared" ca="1" si="77"/>
        <v>8.2019979863657202</v>
      </c>
      <c r="CJ87" s="167">
        <f t="shared" ca="1" si="77"/>
        <v>8.2019979863657202</v>
      </c>
      <c r="CK87" s="178"/>
    </row>
    <row r="88" spans="2:89">
      <c r="B88" s="284">
        <v>18</v>
      </c>
      <c r="C88" s="284">
        <v>75.2</v>
      </c>
      <c r="D88" s="284">
        <v>62.6</v>
      </c>
      <c r="E88" s="8" t="s">
        <v>17</v>
      </c>
      <c r="F88" s="8">
        <v>1.43</v>
      </c>
      <c r="G88" s="19">
        <v>1.46</v>
      </c>
      <c r="H88" s="19">
        <v>1.48</v>
      </c>
      <c r="I88" s="19">
        <v>1.51</v>
      </c>
      <c r="J88" s="19">
        <v>1.56</v>
      </c>
      <c r="K88" s="19">
        <v>1.59</v>
      </c>
      <c r="L88" s="2">
        <v>1.62</v>
      </c>
      <c r="M88" s="2">
        <v>1.76</v>
      </c>
      <c r="N88" s="2">
        <v>1.92</v>
      </c>
      <c r="O88" s="2">
        <v>1.5</v>
      </c>
      <c r="P88" s="2">
        <v>1.54</v>
      </c>
      <c r="Q88" s="2">
        <v>1.35</v>
      </c>
      <c r="R88" s="6"/>
      <c r="AC88" s="164" t="s">
        <v>148</v>
      </c>
      <c r="AD88" s="164">
        <v>36</v>
      </c>
      <c r="AE88" s="165">
        <v>12</v>
      </c>
      <c r="AF88" s="165">
        <v>12</v>
      </c>
      <c r="AG88" s="165">
        <v>12</v>
      </c>
      <c r="AH88" s="164">
        <v>12</v>
      </c>
      <c r="AI88" s="164"/>
      <c r="AJ88" s="501"/>
      <c r="AK88" s="166">
        <f t="shared" ca="1" si="61"/>
        <v>38.965555555555561</v>
      </c>
      <c r="AL88" s="167">
        <f t="shared" ca="1" si="90"/>
        <v>9.7413888888888902</v>
      </c>
      <c r="AM88" s="167">
        <f t="shared" ca="1" si="91"/>
        <v>9.7413888888888902</v>
      </c>
      <c r="AN88" s="167">
        <f t="shared" ca="1" si="92"/>
        <v>9.7413888888888902</v>
      </c>
      <c r="AO88" s="167">
        <f t="shared" ca="1" si="93"/>
        <v>9.7413888888888902</v>
      </c>
      <c r="AP88" s="178"/>
      <c r="AQ88" s="169">
        <f t="shared" ca="1" si="64"/>
        <v>52.315555555555562</v>
      </c>
      <c r="AR88" s="170">
        <f ca="1">INDEX('Cap based on indoor unit SZ'!$J$6:$J$21,MATCH(AE88,'Cap based on indoor unit SZ'!$I$6:$I$21))</f>
        <v>13.078888888888891</v>
      </c>
      <c r="AS88" s="170">
        <f ca="1">INDEX('Cap based on indoor unit SZ'!$J$6:$J$21,MATCH(AF88,'Cap based on indoor unit SZ'!$I$6:$I$21))</f>
        <v>13.078888888888891</v>
      </c>
      <c r="AT88" s="170">
        <f ca="1">INDEX('Cap based on indoor unit SZ'!$J$6:$J$21,MATCH(AG88,'Cap based on indoor unit SZ'!$I$6:$I$21))</f>
        <v>13.078888888888891</v>
      </c>
      <c r="AU88" s="170">
        <f ca="1">INDEX('Cap based on indoor unit SZ'!$J$6:$J$21,MATCH(AH88,'Cap based on indoor unit SZ'!$I$6:$I$21))</f>
        <v>13.078888888888891</v>
      </c>
      <c r="AV88" s="179"/>
      <c r="AW88" s="169">
        <f t="shared" si="65"/>
        <v>48</v>
      </c>
      <c r="AX88" s="170">
        <v>12</v>
      </c>
      <c r="AY88" s="170">
        <v>12</v>
      </c>
      <c r="AZ88" s="170">
        <v>12</v>
      </c>
      <c r="BA88" s="170">
        <v>12</v>
      </c>
      <c r="BB88" s="179"/>
      <c r="BC88" s="172">
        <f t="shared" ca="1" si="66"/>
        <v>38.965555555555561</v>
      </c>
      <c r="BD88" s="173">
        <f t="shared" ca="1" si="94"/>
        <v>9.7413888888888902</v>
      </c>
      <c r="BE88" s="173">
        <f t="shared" ca="1" si="94"/>
        <v>9.7413888888888902</v>
      </c>
      <c r="BF88" s="173">
        <f t="shared" ca="1" si="94"/>
        <v>9.7413888888888902</v>
      </c>
      <c r="BG88" s="173">
        <f t="shared" ca="1" si="94"/>
        <v>9.7413888888888902</v>
      </c>
      <c r="BH88" s="180"/>
      <c r="BI88" s="166">
        <f t="shared" ca="1" si="69"/>
        <v>48.700273504273497</v>
      </c>
      <c r="BJ88" s="167">
        <f t="shared" ca="1" si="95"/>
        <v>12.175068376068374</v>
      </c>
      <c r="BK88" s="167">
        <f t="shared" ca="1" si="96"/>
        <v>12.175068376068374</v>
      </c>
      <c r="BL88" s="167">
        <f t="shared" ca="1" si="97"/>
        <v>12.175068376068374</v>
      </c>
      <c r="BM88" s="167">
        <f t="shared" ca="1" si="98"/>
        <v>12.175068376068374</v>
      </c>
      <c r="BN88" s="178"/>
      <c r="BO88" s="169">
        <f t="shared" ca="1" si="72"/>
        <v>59.780102564102563</v>
      </c>
      <c r="BP88" s="170">
        <f ca="1">INDEX('Cap based on indoor unit SZ'!$V$43:$V$58,MATCH(AE88,'Cap based on indoor unit SZ'!$U$43:$U$58))</f>
        <v>14.945025641025641</v>
      </c>
      <c r="BQ88" s="170">
        <f ca="1">INDEX('Cap based on indoor unit SZ'!$V$43:$V$58,MATCH(AF88,'Cap based on indoor unit SZ'!$U$43:$U$58))</f>
        <v>14.945025641025641</v>
      </c>
      <c r="BR88" s="170">
        <f ca="1">INDEX('Cap based on indoor unit SZ'!$V$43:$V$58,MATCH(AG88,'Cap based on indoor unit SZ'!$U$43:$U$58))</f>
        <v>14.945025641025641</v>
      </c>
      <c r="BS88" s="170">
        <f ca="1">INDEX('Cap based on indoor unit SZ'!$V$43:$V$58,MATCH(AH88,'Cap based on indoor unit SZ'!$U$43:$U$58))</f>
        <v>14.945025641025641</v>
      </c>
      <c r="BT88" s="179"/>
      <c r="BU88" s="175">
        <v>12500</v>
      </c>
      <c r="BV88" s="175">
        <v>12500</v>
      </c>
      <c r="BW88" s="175">
        <v>12500</v>
      </c>
      <c r="BX88" s="175">
        <v>12500</v>
      </c>
      <c r="BY88" s="179"/>
      <c r="BZ88" s="172">
        <f t="shared" ca="1" si="73"/>
        <v>48.700273504273497</v>
      </c>
      <c r="CA88" s="173">
        <f t="shared" ca="1" si="99"/>
        <v>12.175068376068374</v>
      </c>
      <c r="CB88" s="173">
        <f t="shared" ca="1" si="100"/>
        <v>12.175068376068374</v>
      </c>
      <c r="CC88" s="173">
        <f t="shared" ca="1" si="101"/>
        <v>12.175068376068374</v>
      </c>
      <c r="CD88" s="173">
        <f t="shared" ca="1" si="102"/>
        <v>12.175068376068374</v>
      </c>
      <c r="CE88" s="180"/>
      <c r="CF88" s="166">
        <f t="shared" ca="1" si="76"/>
        <v>28.706992952280018</v>
      </c>
      <c r="CG88" s="167">
        <f t="shared" ca="1" si="77"/>
        <v>7.1767482380700045</v>
      </c>
      <c r="CH88" s="167">
        <f t="shared" ca="1" si="77"/>
        <v>7.1767482380700045</v>
      </c>
      <c r="CI88" s="167">
        <f t="shared" ca="1" si="77"/>
        <v>7.1767482380700045</v>
      </c>
      <c r="CJ88" s="167">
        <f t="shared" ca="1" si="77"/>
        <v>7.1767482380700045</v>
      </c>
      <c r="CK88" s="178"/>
    </row>
    <row r="89" spans="2:89">
      <c r="B89" s="284">
        <v>18</v>
      </c>
      <c r="C89" s="284">
        <v>80.599999999999994</v>
      </c>
      <c r="D89" s="284">
        <v>66.2</v>
      </c>
      <c r="E89" s="8" t="s">
        <v>17</v>
      </c>
      <c r="F89" s="8">
        <v>1.5</v>
      </c>
      <c r="G89" s="19">
        <v>1.53</v>
      </c>
      <c r="H89" s="19">
        <v>1.55</v>
      </c>
      <c r="I89" s="19">
        <v>1.57</v>
      </c>
      <c r="J89" s="19">
        <v>1.59</v>
      </c>
      <c r="K89" s="19">
        <v>1.6</v>
      </c>
      <c r="L89" s="2">
        <v>1.61</v>
      </c>
      <c r="M89" s="2">
        <v>1.79</v>
      </c>
      <c r="N89" s="2">
        <v>1.97</v>
      </c>
      <c r="O89" s="2">
        <v>1.45</v>
      </c>
      <c r="P89" s="2">
        <v>1.53</v>
      </c>
      <c r="Q89" s="2">
        <v>1.58</v>
      </c>
      <c r="R89" s="6"/>
      <c r="AC89" s="164" t="s">
        <v>147</v>
      </c>
      <c r="AD89" s="164">
        <v>36</v>
      </c>
      <c r="AE89" s="165">
        <v>12</v>
      </c>
      <c r="AF89" s="165">
        <v>12</v>
      </c>
      <c r="AG89" s="165">
        <v>12</v>
      </c>
      <c r="AH89" s="164">
        <v>18</v>
      </c>
      <c r="AI89" s="164"/>
      <c r="AJ89" s="501"/>
      <c r="AK89" s="166">
        <f t="shared" ca="1" si="61"/>
        <v>38.965555555555561</v>
      </c>
      <c r="AL89" s="167">
        <f t="shared" ca="1" si="90"/>
        <v>8.6590123456790131</v>
      </c>
      <c r="AM89" s="167">
        <f t="shared" ca="1" si="91"/>
        <v>8.6590123456790131</v>
      </c>
      <c r="AN89" s="167">
        <f t="shared" ca="1" si="92"/>
        <v>8.6590123456790131</v>
      </c>
      <c r="AO89" s="167">
        <f t="shared" ca="1" si="93"/>
        <v>12.98851851851852</v>
      </c>
      <c r="AP89" s="178"/>
      <c r="AQ89" s="169">
        <f t="shared" ca="1" si="64"/>
        <v>59.057777777777787</v>
      </c>
      <c r="AR89" s="170">
        <f ca="1">INDEX('Cap based on indoor unit SZ'!$J$6:$J$21,MATCH(AE89,'Cap based on indoor unit SZ'!$I$6:$I$21))</f>
        <v>13.078888888888891</v>
      </c>
      <c r="AS89" s="170">
        <f ca="1">INDEX('Cap based on indoor unit SZ'!$J$6:$J$21,MATCH(AF89,'Cap based on indoor unit SZ'!$I$6:$I$21))</f>
        <v>13.078888888888891</v>
      </c>
      <c r="AT89" s="170">
        <f ca="1">INDEX('Cap based on indoor unit SZ'!$J$6:$J$21,MATCH(AG89,'Cap based on indoor unit SZ'!$I$6:$I$21))</f>
        <v>13.078888888888891</v>
      </c>
      <c r="AU89" s="170">
        <f ca="1">INDEX('Cap based on indoor unit SZ'!$J$6:$J$21,MATCH(AH89,'Cap based on indoor unit SZ'!$I$6:$I$21))</f>
        <v>19.821111111111112</v>
      </c>
      <c r="AV89" s="179"/>
      <c r="AW89" s="169">
        <f t="shared" si="65"/>
        <v>49</v>
      </c>
      <c r="AX89" s="170">
        <v>11</v>
      </c>
      <c r="AY89" s="170">
        <v>11</v>
      </c>
      <c r="AZ89" s="170">
        <v>11</v>
      </c>
      <c r="BA89" s="170">
        <v>16</v>
      </c>
      <c r="BB89" s="179"/>
      <c r="BC89" s="172">
        <f t="shared" ca="1" si="66"/>
        <v>38.965555555555561</v>
      </c>
      <c r="BD89" s="173">
        <f t="shared" ca="1" si="94"/>
        <v>8.6590123456790131</v>
      </c>
      <c r="BE89" s="173">
        <f t="shared" ca="1" si="94"/>
        <v>8.6590123456790131</v>
      </c>
      <c r="BF89" s="173">
        <f t="shared" ca="1" si="94"/>
        <v>8.6590123456790131</v>
      </c>
      <c r="BG89" s="173">
        <f t="shared" ca="1" si="94"/>
        <v>12.98851851851852</v>
      </c>
      <c r="BH89" s="180"/>
      <c r="BI89" s="166">
        <f t="shared" ca="1" si="69"/>
        <v>48.700273504273483</v>
      </c>
      <c r="BJ89" s="167">
        <f t="shared" ca="1" si="95"/>
        <v>10.822283000949664</v>
      </c>
      <c r="BK89" s="167">
        <f t="shared" ca="1" si="96"/>
        <v>10.822283000949664</v>
      </c>
      <c r="BL89" s="167">
        <f t="shared" ca="1" si="97"/>
        <v>10.822283000949664</v>
      </c>
      <c r="BM89" s="167">
        <f t="shared" ca="1" si="98"/>
        <v>16.233424501424498</v>
      </c>
      <c r="BN89" s="178"/>
      <c r="BO89" s="169">
        <f t="shared" ca="1" si="72"/>
        <v>69.433897435897435</v>
      </c>
      <c r="BP89" s="170">
        <f ca="1">INDEX('Cap based on indoor unit SZ'!$V$43:$V$58,MATCH(AE89,'Cap based on indoor unit SZ'!$U$43:$U$58))</f>
        <v>14.945025641025641</v>
      </c>
      <c r="BQ89" s="170">
        <f ca="1">INDEX('Cap based on indoor unit SZ'!$V$43:$V$58,MATCH(AF89,'Cap based on indoor unit SZ'!$U$43:$U$58))</f>
        <v>14.945025641025641</v>
      </c>
      <c r="BR89" s="170">
        <f ca="1">INDEX('Cap based on indoor unit SZ'!$V$43:$V$58,MATCH(AG89,'Cap based on indoor unit SZ'!$U$43:$U$58))</f>
        <v>14.945025641025641</v>
      </c>
      <c r="BS89" s="170">
        <f ca="1">INDEX('Cap based on indoor unit SZ'!$V$43:$V$58,MATCH(AH89,'Cap based on indoor unit SZ'!$U$43:$U$58))</f>
        <v>24.598820512820513</v>
      </c>
      <c r="BT89" s="179"/>
      <c r="BU89" s="175">
        <v>11500</v>
      </c>
      <c r="BV89" s="175">
        <v>11500</v>
      </c>
      <c r="BW89" s="175">
        <v>11500</v>
      </c>
      <c r="BX89" s="175">
        <v>16500</v>
      </c>
      <c r="BY89" s="179"/>
      <c r="BZ89" s="172">
        <f t="shared" ca="1" si="73"/>
        <v>48.700273504273483</v>
      </c>
      <c r="CA89" s="173">
        <f t="shared" ca="1" si="99"/>
        <v>10.822283000949664</v>
      </c>
      <c r="CB89" s="173">
        <f t="shared" ca="1" si="100"/>
        <v>10.822283000949664</v>
      </c>
      <c r="CC89" s="173">
        <f t="shared" ca="1" si="101"/>
        <v>10.822283000949664</v>
      </c>
      <c r="CD89" s="173">
        <f t="shared" ca="1" si="102"/>
        <v>16.233424501424498</v>
      </c>
      <c r="CE89" s="180"/>
      <c r="CF89" s="166">
        <f t="shared" ca="1" si="76"/>
        <v>28.706992952280018</v>
      </c>
      <c r="CG89" s="167">
        <f t="shared" ca="1" si="77"/>
        <v>6.3793317671733369</v>
      </c>
      <c r="CH89" s="167">
        <f t="shared" ca="1" si="77"/>
        <v>6.3793317671733369</v>
      </c>
      <c r="CI89" s="167">
        <f t="shared" ca="1" si="77"/>
        <v>6.3793317671733369</v>
      </c>
      <c r="CJ89" s="167">
        <f t="shared" ca="1" si="77"/>
        <v>9.5689976507600054</v>
      </c>
      <c r="CK89" s="178"/>
    </row>
    <row r="90" spans="2:89">
      <c r="B90" s="284">
        <v>18</v>
      </c>
      <c r="C90" s="284">
        <v>89.6</v>
      </c>
      <c r="D90" s="284">
        <v>73.400000000000006</v>
      </c>
      <c r="E90" s="8" t="s">
        <v>17</v>
      </c>
      <c r="F90" s="8">
        <v>1.55</v>
      </c>
      <c r="G90" s="19">
        <v>1.58</v>
      </c>
      <c r="H90" s="19">
        <v>1.6</v>
      </c>
      <c r="I90" s="19">
        <v>1.62</v>
      </c>
      <c r="J90" s="19">
        <v>1.64</v>
      </c>
      <c r="K90" s="19">
        <v>1.72</v>
      </c>
      <c r="L90" s="2">
        <v>1.66</v>
      </c>
      <c r="M90" s="2">
        <v>1.84</v>
      </c>
      <c r="N90" s="2">
        <v>2.14</v>
      </c>
      <c r="O90" s="2">
        <v>1.5</v>
      </c>
      <c r="P90" s="2">
        <v>1.58</v>
      </c>
      <c r="Q90" s="2">
        <v>1.63</v>
      </c>
      <c r="R90" s="6"/>
      <c r="AC90" s="164" t="s">
        <v>146</v>
      </c>
      <c r="AD90" s="164">
        <v>36</v>
      </c>
      <c r="AE90" s="165">
        <v>12</v>
      </c>
      <c r="AF90" s="165">
        <v>12</v>
      </c>
      <c r="AG90" s="165">
        <v>12</v>
      </c>
      <c r="AH90" s="164">
        <v>24</v>
      </c>
      <c r="AI90" s="164"/>
      <c r="AJ90" s="501"/>
      <c r="AK90" s="166">
        <f t="shared" ca="1" si="61"/>
        <v>38.965555555555568</v>
      </c>
      <c r="AL90" s="167">
        <f t="shared" ca="1" si="90"/>
        <v>7.7931111111111129</v>
      </c>
      <c r="AM90" s="167">
        <f t="shared" ca="1" si="91"/>
        <v>7.7931111111111129</v>
      </c>
      <c r="AN90" s="167">
        <f t="shared" ca="1" si="92"/>
        <v>7.7931111111111129</v>
      </c>
      <c r="AO90" s="167">
        <f t="shared" ca="1" si="93"/>
        <v>15.586222222222226</v>
      </c>
      <c r="AP90" s="178"/>
      <c r="AQ90" s="169">
        <f t="shared" ca="1" si="64"/>
        <v>63.68888888888889</v>
      </c>
      <c r="AR90" s="170">
        <f ca="1">INDEX('Cap based on indoor unit SZ'!$J$6:$J$21,MATCH(AE90,'Cap based on indoor unit SZ'!$I$6:$I$21))</f>
        <v>13.078888888888891</v>
      </c>
      <c r="AS90" s="170">
        <f ca="1">INDEX('Cap based on indoor unit SZ'!$J$6:$J$21,MATCH(AF90,'Cap based on indoor unit SZ'!$I$6:$I$21))</f>
        <v>13.078888888888891</v>
      </c>
      <c r="AT90" s="170">
        <f ca="1">INDEX('Cap based on indoor unit SZ'!$J$6:$J$21,MATCH(AG90,'Cap based on indoor unit SZ'!$I$6:$I$21))</f>
        <v>13.078888888888891</v>
      </c>
      <c r="AU90" s="170">
        <f ca="1">INDEX('Cap based on indoor unit SZ'!$J$6:$J$21,MATCH(AH90,'Cap based on indoor unit SZ'!$I$6:$I$21))</f>
        <v>24.452222222222218</v>
      </c>
      <c r="AV90" s="179"/>
      <c r="AW90" s="169">
        <f t="shared" si="65"/>
        <v>50</v>
      </c>
      <c r="AX90" s="170">
        <v>10</v>
      </c>
      <c r="AY90" s="170">
        <v>10</v>
      </c>
      <c r="AZ90" s="170">
        <v>10</v>
      </c>
      <c r="BA90" s="170">
        <v>20</v>
      </c>
      <c r="BB90" s="179"/>
      <c r="BC90" s="172">
        <f t="shared" ca="1" si="66"/>
        <v>38.965555555555568</v>
      </c>
      <c r="BD90" s="173">
        <f t="shared" ca="1" si="94"/>
        <v>7.7931111111111129</v>
      </c>
      <c r="BE90" s="173">
        <f t="shared" ca="1" si="94"/>
        <v>7.7931111111111129</v>
      </c>
      <c r="BF90" s="173">
        <f t="shared" ca="1" si="94"/>
        <v>7.7931111111111129</v>
      </c>
      <c r="BG90" s="173">
        <f t="shared" ca="1" si="94"/>
        <v>15.586222222222226</v>
      </c>
      <c r="BH90" s="180"/>
      <c r="BI90" s="166">
        <f t="shared" ca="1" si="69"/>
        <v>48.700273504273497</v>
      </c>
      <c r="BJ90" s="167">
        <f t="shared" ca="1" si="95"/>
        <v>9.7400547008546994</v>
      </c>
      <c r="BK90" s="167">
        <f t="shared" ca="1" si="96"/>
        <v>9.7400547008546994</v>
      </c>
      <c r="BL90" s="167">
        <f t="shared" ca="1" si="97"/>
        <v>9.7400547008546994</v>
      </c>
      <c r="BM90" s="167">
        <f t="shared" ca="1" si="98"/>
        <v>19.480109401709399</v>
      </c>
      <c r="BN90" s="178"/>
      <c r="BO90" s="169">
        <f t="shared" ca="1" si="72"/>
        <v>75.125076923076932</v>
      </c>
      <c r="BP90" s="170">
        <f ca="1">INDEX('Cap based on indoor unit SZ'!$V$43:$V$58,MATCH(AE90,'Cap based on indoor unit SZ'!$U$43:$U$58))</f>
        <v>14.945025641025641</v>
      </c>
      <c r="BQ90" s="170">
        <f ca="1">INDEX('Cap based on indoor unit SZ'!$V$43:$V$58,MATCH(AF90,'Cap based on indoor unit SZ'!$U$43:$U$58))</f>
        <v>14.945025641025641</v>
      </c>
      <c r="BR90" s="170">
        <f ca="1">INDEX('Cap based on indoor unit SZ'!$V$43:$V$58,MATCH(AG90,'Cap based on indoor unit SZ'!$U$43:$U$58))</f>
        <v>14.945025641025641</v>
      </c>
      <c r="BS90" s="170">
        <f ca="1">INDEX('Cap based on indoor unit SZ'!$V$43:$V$58,MATCH(AH90,'Cap based on indoor unit SZ'!$U$43:$U$58))</f>
        <v>30.290000000000003</v>
      </c>
      <c r="BT90" s="179"/>
      <c r="BU90" s="175">
        <v>10500</v>
      </c>
      <c r="BV90" s="175">
        <v>10500</v>
      </c>
      <c r="BW90" s="175">
        <v>10500</v>
      </c>
      <c r="BX90" s="175">
        <v>20500</v>
      </c>
      <c r="BY90" s="179"/>
      <c r="BZ90" s="172">
        <f t="shared" ca="1" si="73"/>
        <v>48.700273504273497</v>
      </c>
      <c r="CA90" s="173">
        <f t="shared" ca="1" si="99"/>
        <v>9.7400547008546994</v>
      </c>
      <c r="CB90" s="173">
        <f t="shared" ca="1" si="100"/>
        <v>9.7400547008546994</v>
      </c>
      <c r="CC90" s="173">
        <f t="shared" ca="1" si="101"/>
        <v>9.7400547008546994</v>
      </c>
      <c r="CD90" s="173">
        <f t="shared" ca="1" si="102"/>
        <v>19.480109401709399</v>
      </c>
      <c r="CE90" s="180"/>
      <c r="CF90" s="166">
        <f t="shared" ca="1" si="76"/>
        <v>28.706992952280022</v>
      </c>
      <c r="CG90" s="167">
        <f t="shared" ca="1" si="77"/>
        <v>5.7413985904560043</v>
      </c>
      <c r="CH90" s="167">
        <f t="shared" ca="1" si="77"/>
        <v>5.7413985904560043</v>
      </c>
      <c r="CI90" s="167">
        <f t="shared" ca="1" si="77"/>
        <v>5.7413985904560043</v>
      </c>
      <c r="CJ90" s="167">
        <f t="shared" ca="1" si="77"/>
        <v>11.482797180912009</v>
      </c>
      <c r="CK90" s="178"/>
    </row>
    <row r="91" spans="2:89">
      <c r="B91" s="283">
        <v>24</v>
      </c>
      <c r="C91" s="284">
        <v>69.8</v>
      </c>
      <c r="D91" s="284">
        <v>59</v>
      </c>
      <c r="E91" s="8" t="s">
        <v>17</v>
      </c>
      <c r="F91" s="8">
        <v>1.94</v>
      </c>
      <c r="G91" s="19">
        <v>1.98</v>
      </c>
      <c r="H91" s="19">
        <v>2.0099999999999998</v>
      </c>
      <c r="I91" s="19">
        <v>2.02</v>
      </c>
      <c r="J91" s="19">
        <v>2.04</v>
      </c>
      <c r="K91" s="19">
        <v>2.0499999999999998</v>
      </c>
      <c r="L91" s="2">
        <v>2.06</v>
      </c>
      <c r="M91" s="2">
        <v>2.2799999999999998</v>
      </c>
      <c r="N91" s="2">
        <v>2.5099999999999998</v>
      </c>
      <c r="O91" s="2">
        <v>2.4</v>
      </c>
      <c r="P91" s="2">
        <v>2.48</v>
      </c>
      <c r="Q91" s="2">
        <v>2.56</v>
      </c>
      <c r="R91" s="6"/>
      <c r="AC91" s="164" t="s">
        <v>275</v>
      </c>
      <c r="AD91" s="164">
        <v>36</v>
      </c>
      <c r="AE91" s="165">
        <v>12</v>
      </c>
      <c r="AF91" s="165">
        <v>12</v>
      </c>
      <c r="AG91" s="165">
        <v>18</v>
      </c>
      <c r="AH91" s="164">
        <v>18</v>
      </c>
      <c r="AI91" s="164"/>
      <c r="AJ91" s="501"/>
      <c r="AK91" s="166">
        <f t="shared" ca="1" si="61"/>
        <v>38.965555555555561</v>
      </c>
      <c r="AL91" s="167">
        <f t="shared" ca="1" si="90"/>
        <v>7.7931111111111129</v>
      </c>
      <c r="AM91" s="167">
        <f t="shared" ca="1" si="91"/>
        <v>7.7931111111111129</v>
      </c>
      <c r="AN91" s="167">
        <f t="shared" ca="1" si="92"/>
        <v>11.689666666666669</v>
      </c>
      <c r="AO91" s="167">
        <f t="shared" ca="1" si="93"/>
        <v>11.689666666666669</v>
      </c>
      <c r="AP91" s="178"/>
      <c r="AQ91" s="169">
        <f t="shared" ca="1" si="64"/>
        <v>65.8</v>
      </c>
      <c r="AR91" s="170">
        <f ca="1">INDEX('Cap based on indoor unit SZ'!$J$6:$J$21,MATCH(AE91,'Cap based on indoor unit SZ'!$I$6:$I$21))</f>
        <v>13.078888888888891</v>
      </c>
      <c r="AS91" s="170">
        <f ca="1">INDEX('Cap based on indoor unit SZ'!$J$6:$J$21,MATCH(AF91,'Cap based on indoor unit SZ'!$I$6:$I$21))</f>
        <v>13.078888888888891</v>
      </c>
      <c r="AT91" s="170">
        <f ca="1">INDEX('Cap based on indoor unit SZ'!$J$6:$J$21,MATCH(AG91,'Cap based on indoor unit SZ'!$I$6:$I$21))</f>
        <v>19.821111111111112</v>
      </c>
      <c r="AU91" s="170">
        <f ca="1">INDEX('Cap based on indoor unit SZ'!$J$6:$J$21,MATCH(AH91,'Cap based on indoor unit SZ'!$I$6:$I$21))</f>
        <v>19.821111111111112</v>
      </c>
      <c r="AV91" s="179"/>
      <c r="AW91" s="169">
        <f t="shared" si="65"/>
        <v>50</v>
      </c>
      <c r="AX91" s="170">
        <v>10</v>
      </c>
      <c r="AY91" s="170">
        <v>10</v>
      </c>
      <c r="AZ91" s="170">
        <v>15</v>
      </c>
      <c r="BA91" s="170">
        <v>15</v>
      </c>
      <c r="BB91" s="179"/>
      <c r="BC91" s="172">
        <f t="shared" ca="1" si="66"/>
        <v>38.965555555555561</v>
      </c>
      <c r="BD91" s="173">
        <f t="shared" ca="1" si="94"/>
        <v>7.7931111111111129</v>
      </c>
      <c r="BE91" s="173">
        <f t="shared" ca="1" si="94"/>
        <v>7.7931111111111129</v>
      </c>
      <c r="BF91" s="173">
        <f t="shared" ca="1" si="94"/>
        <v>11.689666666666669</v>
      </c>
      <c r="BG91" s="173">
        <f t="shared" ca="1" si="94"/>
        <v>11.689666666666669</v>
      </c>
      <c r="BH91" s="180"/>
      <c r="BI91" s="166">
        <f t="shared" ca="1" si="69"/>
        <v>48.700273504273497</v>
      </c>
      <c r="BJ91" s="167">
        <f t="shared" ca="1" si="95"/>
        <v>9.7400547008546994</v>
      </c>
      <c r="BK91" s="167">
        <f t="shared" ca="1" si="96"/>
        <v>9.7400547008546994</v>
      </c>
      <c r="BL91" s="167">
        <f t="shared" ca="1" si="97"/>
        <v>14.610082051282051</v>
      </c>
      <c r="BM91" s="167">
        <f t="shared" ca="1" si="98"/>
        <v>14.610082051282051</v>
      </c>
      <c r="BN91" s="178"/>
      <c r="BO91" s="169">
        <f t="shared" ca="1" si="72"/>
        <v>79.087692307692308</v>
      </c>
      <c r="BP91" s="170">
        <f ca="1">INDEX('Cap based on indoor unit SZ'!$V$43:$V$58,MATCH(AE91,'Cap based on indoor unit SZ'!$U$43:$U$58))</f>
        <v>14.945025641025641</v>
      </c>
      <c r="BQ91" s="170">
        <f ca="1">INDEX('Cap based on indoor unit SZ'!$V$43:$V$58,MATCH(AF91,'Cap based on indoor unit SZ'!$U$43:$U$58))</f>
        <v>14.945025641025641</v>
      </c>
      <c r="BR91" s="170">
        <f ca="1">INDEX('Cap based on indoor unit SZ'!$V$43:$V$58,MATCH(AG91,'Cap based on indoor unit SZ'!$U$43:$U$58))</f>
        <v>24.598820512820513</v>
      </c>
      <c r="BS91" s="170">
        <f ca="1">INDEX('Cap based on indoor unit SZ'!$V$43:$V$58,MATCH(AH91,'Cap based on indoor unit SZ'!$U$43:$U$58))</f>
        <v>24.598820512820513</v>
      </c>
      <c r="BT91" s="179"/>
      <c r="BU91" s="175">
        <v>10500</v>
      </c>
      <c r="BV91" s="175">
        <v>10500</v>
      </c>
      <c r="BW91" s="175">
        <v>15500</v>
      </c>
      <c r="BX91" s="175">
        <v>15500</v>
      </c>
      <c r="BY91" s="179"/>
      <c r="BZ91" s="172">
        <f t="shared" ca="1" si="73"/>
        <v>48.700273504273497</v>
      </c>
      <c r="CA91" s="173">
        <f t="shared" ca="1" si="99"/>
        <v>9.7400547008546994</v>
      </c>
      <c r="CB91" s="173">
        <f t="shared" ca="1" si="100"/>
        <v>9.7400547008546994</v>
      </c>
      <c r="CC91" s="173">
        <f t="shared" ca="1" si="101"/>
        <v>14.610082051282051</v>
      </c>
      <c r="CD91" s="173">
        <f t="shared" ca="1" si="102"/>
        <v>14.610082051282051</v>
      </c>
      <c r="CE91" s="180"/>
      <c r="CF91" s="166">
        <f t="shared" ca="1" si="76"/>
        <v>28.706992952280025</v>
      </c>
      <c r="CG91" s="167">
        <f t="shared" ca="1" si="77"/>
        <v>5.7413985904560043</v>
      </c>
      <c r="CH91" s="167">
        <f t="shared" ca="1" si="77"/>
        <v>5.7413985904560043</v>
      </c>
      <c r="CI91" s="167">
        <f t="shared" ca="1" si="77"/>
        <v>8.6120978856840065</v>
      </c>
      <c r="CJ91" s="167">
        <f t="shared" ca="1" si="77"/>
        <v>8.6120978856840065</v>
      </c>
      <c r="CK91" s="178"/>
    </row>
    <row r="92" spans="2:89">
      <c r="B92" s="283">
        <v>24</v>
      </c>
      <c r="C92" s="284">
        <v>75.2</v>
      </c>
      <c r="D92" s="284">
        <v>62.6</v>
      </c>
      <c r="E92" s="8" t="s">
        <v>17</v>
      </c>
      <c r="F92" s="8">
        <v>1.98</v>
      </c>
      <c r="G92" s="19">
        <v>2.02</v>
      </c>
      <c r="H92" s="19">
        <v>2.0499999999999998</v>
      </c>
      <c r="I92" s="19">
        <v>2.06</v>
      </c>
      <c r="J92" s="19">
        <v>2.08</v>
      </c>
      <c r="K92" s="19">
        <v>2.09</v>
      </c>
      <c r="L92" s="2">
        <v>2.1</v>
      </c>
      <c r="M92" s="2">
        <v>2.3199999999999998</v>
      </c>
      <c r="N92" s="2">
        <v>2.5499999999999998</v>
      </c>
      <c r="O92" s="2">
        <v>2.44</v>
      </c>
      <c r="P92" s="2">
        <v>2.6</v>
      </c>
      <c r="Q92" s="2">
        <v>2.6</v>
      </c>
      <c r="R92" s="6"/>
      <c r="AC92" s="160" t="s">
        <v>50</v>
      </c>
      <c r="AD92" s="160">
        <v>48</v>
      </c>
      <c r="AE92" s="160"/>
      <c r="AF92" s="160"/>
      <c r="AG92" s="160"/>
      <c r="AH92" s="160"/>
      <c r="AI92" s="160"/>
      <c r="AJ92" s="160"/>
      <c r="AK92" s="166"/>
      <c r="AL92" s="272" t="s">
        <v>60</v>
      </c>
      <c r="AM92" s="272" t="s">
        <v>61</v>
      </c>
      <c r="AN92" s="272" t="s">
        <v>62</v>
      </c>
      <c r="AO92" s="272" t="s">
        <v>63</v>
      </c>
      <c r="AP92" s="272" t="s">
        <v>64</v>
      </c>
      <c r="AQ92" s="169"/>
      <c r="AR92" s="160" t="s">
        <v>60</v>
      </c>
      <c r="AS92" s="160" t="s">
        <v>61</v>
      </c>
      <c r="AT92" s="160" t="s">
        <v>62</v>
      </c>
      <c r="AU92" s="160" t="s">
        <v>63</v>
      </c>
      <c r="AV92" s="160" t="s">
        <v>64</v>
      </c>
      <c r="AW92" s="169"/>
      <c r="AX92" s="160" t="s">
        <v>60</v>
      </c>
      <c r="AY92" s="160" t="s">
        <v>61</v>
      </c>
      <c r="AZ92" s="160" t="s">
        <v>62</v>
      </c>
      <c r="BA92" s="160" t="s">
        <v>63</v>
      </c>
      <c r="BB92" s="160" t="s">
        <v>64</v>
      </c>
      <c r="BC92" s="172"/>
      <c r="BD92" s="274" t="s">
        <v>60</v>
      </c>
      <c r="BE92" s="274" t="s">
        <v>61</v>
      </c>
      <c r="BF92" s="274" t="s">
        <v>62</v>
      </c>
      <c r="BG92" s="274" t="s">
        <v>63</v>
      </c>
      <c r="BH92" s="274" t="s">
        <v>64</v>
      </c>
      <c r="BI92" s="166"/>
      <c r="BJ92" s="272" t="s">
        <v>60</v>
      </c>
      <c r="BK92" s="272" t="s">
        <v>61</v>
      </c>
      <c r="BL92" s="272" t="s">
        <v>62</v>
      </c>
      <c r="BM92" s="272" t="s">
        <v>63</v>
      </c>
      <c r="BN92" s="272" t="s">
        <v>64</v>
      </c>
      <c r="BO92" s="169"/>
      <c r="BP92" s="160" t="s">
        <v>60</v>
      </c>
      <c r="BQ92" s="160" t="s">
        <v>61</v>
      </c>
      <c r="BR92" s="160" t="s">
        <v>62</v>
      </c>
      <c r="BS92" s="160" t="s">
        <v>63</v>
      </c>
      <c r="BT92" s="160" t="s">
        <v>64</v>
      </c>
      <c r="BU92" s="160" t="s">
        <v>60</v>
      </c>
      <c r="BV92" s="160" t="s">
        <v>61</v>
      </c>
      <c r="BW92" s="160" t="s">
        <v>62</v>
      </c>
      <c r="BX92" s="160" t="s">
        <v>63</v>
      </c>
      <c r="BY92" s="160" t="s">
        <v>64</v>
      </c>
      <c r="BZ92" s="172"/>
      <c r="CA92" s="274" t="s">
        <v>60</v>
      </c>
      <c r="CB92" s="274" t="s">
        <v>61</v>
      </c>
      <c r="CC92" s="274" t="s">
        <v>62</v>
      </c>
      <c r="CD92" s="274" t="s">
        <v>63</v>
      </c>
      <c r="CE92" s="274" t="s">
        <v>64</v>
      </c>
      <c r="CF92" s="166"/>
      <c r="CG92" s="272" t="s">
        <v>60</v>
      </c>
      <c r="CH92" s="272" t="s">
        <v>61</v>
      </c>
      <c r="CI92" s="272" t="s">
        <v>62</v>
      </c>
      <c r="CJ92" s="272" t="s">
        <v>63</v>
      </c>
      <c r="CK92" s="272" t="s">
        <v>64</v>
      </c>
    </row>
    <row r="93" spans="2:89">
      <c r="B93" s="283">
        <v>24</v>
      </c>
      <c r="C93" s="284">
        <v>80.599999999999994</v>
      </c>
      <c r="D93" s="284">
        <v>66.2</v>
      </c>
      <c r="E93" s="8" t="s">
        <v>17</v>
      </c>
      <c r="F93" s="8">
        <v>2.11</v>
      </c>
      <c r="G93" s="19">
        <v>2.15</v>
      </c>
      <c r="H93" s="19">
        <v>2.2000000000000002</v>
      </c>
      <c r="I93" s="19">
        <v>2.34</v>
      </c>
      <c r="J93" s="19">
        <v>3.38</v>
      </c>
      <c r="K93" s="19">
        <v>2.42</v>
      </c>
      <c r="L93" s="2">
        <v>2.4500000000000002</v>
      </c>
      <c r="M93" s="2">
        <v>2.72</v>
      </c>
      <c r="N93" s="2">
        <v>3.03</v>
      </c>
      <c r="O93" s="2">
        <v>2.4900000000000002</v>
      </c>
      <c r="P93" s="2">
        <v>2.54</v>
      </c>
      <c r="Q93" s="2">
        <v>2.63</v>
      </c>
      <c r="R93" s="6"/>
      <c r="AC93" s="164" t="s">
        <v>188</v>
      </c>
      <c r="AD93" s="164">
        <v>48</v>
      </c>
      <c r="AE93" s="165">
        <v>9</v>
      </c>
      <c r="AF93" s="165">
        <v>18</v>
      </c>
      <c r="AG93" s="165"/>
      <c r="AH93" s="164"/>
      <c r="AI93" s="164"/>
      <c r="AJ93" s="500">
        <v>2</v>
      </c>
      <c r="AK93" s="166">
        <f t="shared" ref="AK93:AK148" ca="1" si="104">SUM(AL93:AP93)</f>
        <v>30.284222222222223</v>
      </c>
      <c r="AL93" s="167">
        <f t="shared" ref="AL93:AL100" ca="1" si="105">IF((INDEX($AA$4:$AA$7,MATCH(INDOOR_1,$Z$4:$Z$7))*(INDEX($X$27:$X$46,MATCH($AD93,$W$27:$W$46,1))/(INDEX($AA$4:$AA$7,MATCH(INDOOR_1,$Z$4:$Z$7))+INDEX($AA$4:$AA$7,MATCH(INDOOR_2,$Z$4:$Z$7)))))
&gt;AR93,AR93,
(INDEX($AA$4:$AA$7,MATCH(INDOOR_1,$Z$4:$Z$7))*(INDEX($X$27:$X$46,MATCH($AD93,$W$27:$W$46,1))/(INDEX($AA$4:$AA$7,MATCH(INDOOR_1,$Z$4:$Z$7))+INDEX($AA$4:$AA$7,MATCH(INDOOR_2,$Z$4:$Z$7))))))</f>
        <v>10.463111111111111</v>
      </c>
      <c r="AM93" s="167">
        <f t="shared" ref="AM93:AM100" ca="1" si="106">IF((INDEX($AA$4:$AA$7,MATCH(INDOOR_2,$Z$4:$Z$7))*(INDEX($X$27:$X$46,MATCH($AD93,$W$27:$W$46,1))/(INDEX($AA$4:$AA$7,MATCH(INDOOR_1,$Z$4:$Z$7))+INDEX($AA$4:$AA$7,MATCH(INDOOR_2,$Z$4:$Z$7)))))
&gt;AS93,AS93,
(INDEX($AA$4:$AA$7,MATCH(INDOOR_2,$Z$4:$Z$7))*(INDEX($X$27:$X$46,MATCH($AD93,$W$27:$W$46,1))/(INDEX($AA$4:$AA$7,MATCH(INDOOR_1,$Z$4:$Z$7))+INDEX($AA$4:$AA$7,MATCH(INDOOR_2,$Z$4:$Z$7))))))</f>
        <v>19.821111111111112</v>
      </c>
      <c r="AN93" s="178"/>
      <c r="AO93" s="178"/>
      <c r="AP93" s="178"/>
      <c r="AQ93" s="169">
        <f t="shared" ref="AQ93:AQ124" ca="1" si="107">SUM(AR93:AV93)</f>
        <v>30.284222222222223</v>
      </c>
      <c r="AR93" s="170">
        <f ca="1">INDEX('Cap based on indoor unit SZ'!$J$6:$J$21,MATCH(AE93,'Cap based on indoor unit SZ'!$I$6:$I$21))</f>
        <v>10.463111111111111</v>
      </c>
      <c r="AS93" s="170">
        <f ca="1">INDEX('Cap based on indoor unit SZ'!$J$6:$J$21,MATCH(AF93,'Cap based on indoor unit SZ'!$I$6:$I$21))</f>
        <v>19.821111111111112</v>
      </c>
      <c r="AT93" s="179"/>
      <c r="AU93" s="179"/>
      <c r="AV93" s="179"/>
      <c r="AW93" s="169">
        <f t="shared" ref="AW93:AW148" si="108">SUM(AX93:BB93)</f>
        <v>27.5</v>
      </c>
      <c r="AX93" s="170">
        <v>9.5</v>
      </c>
      <c r="AY93" s="170">
        <v>18</v>
      </c>
      <c r="AZ93" s="179"/>
      <c r="BA93" s="179"/>
      <c r="BB93" s="179"/>
      <c r="BC93" s="172">
        <f t="shared" ref="BC93:BC124" ca="1" si="109">SUM(BD93:BH93)</f>
        <v>45.37555555555555</v>
      </c>
      <c r="BD93" s="173">
        <f t="shared" ref="BD93:BD100" ca="1" si="110">(INDEX($AA$4:$AA$7,MATCH(AE93,$Z$4:$Z$7))*(INDEX($X$27:$X$46,MATCH($AD93,$W$27:$W$46,1))/(INDEX($AA$4:$AA$7,MATCH(AE93,$Z$4:$Z$7))+INDEX($AA$4:$AA$7,MATCH(AF93,$Z$4:$Z$7)))))</f>
        <v>15.125185185185183</v>
      </c>
      <c r="BE93" s="173">
        <f t="shared" ref="BE93:BE100" ca="1" si="111">(INDEX($AA$4:$AA$7,MATCH(AF93,$Z$4:$Z$7))*(INDEX($X$27:$X$46,MATCH($AD93,$W$27:$W$46,1))/(INDEX($AA$4:$AA$7,MATCH(AE93,$Z$4:$Z$7))+INDEX($AA$4:$AA$7,MATCH(AF93,$Z$4:$Z$7)))))</f>
        <v>30.250370370370366</v>
      </c>
      <c r="BF93" s="180"/>
      <c r="BG93" s="180"/>
      <c r="BH93" s="180"/>
      <c r="BI93" s="166">
        <f t="shared" ref="BI93:BI148" ca="1" si="112">SUM(BJ93:BN93)</f>
        <v>36.554841025641025</v>
      </c>
      <c r="BJ93" s="167">
        <f t="shared" ref="BJ93:BJ100" ca="1" si="113">IF((INDEX($AA$4:$AA$7,MATCH(INDOOR_1,$Z$4:$Z$7))*(INDEX($X$118:$X$137,MATCH($AD93,$W$118:$W$137,1))/(INDEX($AA$4:$AA$7,MATCH(INDOOR_1,$Z$4:$Z$7))+INDEX($AA$4:$AA$7,MATCH(INDOOR_2,$Z$4:$Z$7)))))
&gt;BP93,BP93,
(INDEX($AA$4:$AA$7,MATCH(INDOOR_1,$Z$4:$Z$7))*(INDEX($X$118:$X$137,MATCH($AD93,$W$118:$W$137,1))/(INDEX($AA$4:$AA$7,MATCH(INDOOR_1,$Z$4:$Z$7))+INDEX($AA$4:$AA$7,MATCH(INDOOR_2,$Z$4:$Z$7))))))</f>
        <v>11.956020512820512</v>
      </c>
      <c r="BK93" s="167">
        <f t="shared" ref="BK93:BK100" ca="1" si="114">IF((INDEX($AA$4:$AA$7,MATCH(INDOOR_2,$Z$4:$Z$7))*(INDEX($X$118:$X$137,MATCH($AD93,$W$118:$W$137,1))/(INDEX($AA$4:$AA$7,MATCH(INDOOR_1,$Z$4:$Z$7))+INDEX($AA$4:$AA$7,MATCH(INDOOR_2,$Z$4:$Z$7)))))
&gt;BQ93,BQ93,
(INDEX($AA$4:$AA$7,MATCH(INDOOR_2,$Z$4:$Z$7))*(INDEX($X$118:$X$137,MATCH($AD93,$W$118:$W$137,1))/(INDEX($AA$4:$AA$7,MATCH(INDOOR_1,$Z$4:$Z$7))+INDEX($AA$4:$AA$7,MATCH(INDOOR_2,$Z$4:$Z$7))))))</f>
        <v>24.598820512820513</v>
      </c>
      <c r="BL93" s="178"/>
      <c r="BM93" s="178"/>
      <c r="BN93" s="178"/>
      <c r="BO93" s="169">
        <f t="shared" ref="BO93:BO124" ca="1" si="115">SUM(BP93:BT93)</f>
        <v>36.554841025641025</v>
      </c>
      <c r="BP93" s="170">
        <f ca="1">INDEX('Cap based on indoor unit SZ'!$V$43:$V$58,MATCH(AE93,'Cap based on indoor unit SZ'!$U$43:$U$58))</f>
        <v>11.956020512820512</v>
      </c>
      <c r="BQ93" s="170">
        <f ca="1">INDEX('Cap based on indoor unit SZ'!$V$43:$V$58,MATCH(AF93,'Cap based on indoor unit SZ'!$U$43:$U$58))</f>
        <v>24.598820512820513</v>
      </c>
      <c r="BR93" s="179"/>
      <c r="BS93" s="179"/>
      <c r="BT93" s="179"/>
      <c r="BU93" s="175">
        <v>10000</v>
      </c>
      <c r="BV93" s="175">
        <v>18000</v>
      </c>
      <c r="BW93" s="179"/>
      <c r="BX93" s="179"/>
      <c r="BY93" s="179"/>
      <c r="BZ93" s="172">
        <f t="shared" ref="BZ93:BZ148" ca="1" si="116">SUM(CA93:CE93)</f>
        <v>54.037760683760688</v>
      </c>
      <c r="CA93" s="173">
        <f t="shared" ref="CA93:CA100" ca="1" si="117">(INDEX($AA$4:$AA$7,MATCH(INDOOR_1,$Z$4:$Z$7))*(INDEX($X$118:$X$137,MATCH($AD93,$W$118:$W$137,1))/(INDEX($AA$4:$AA$7,MATCH(INDOOR_1,$Z$4:$Z$7))+INDEX($AA$4:$AA$7,MATCH(INDOOR_2,$Z$4:$Z$7)))))</f>
        <v>18.012586894586896</v>
      </c>
      <c r="CB93" s="173">
        <f t="shared" ref="CB93:CB100" ca="1" si="118">(INDEX($AA$4:$AA$7,MATCH(INDOOR_2,$Z$4:$Z$7))*(INDEX($X$118:$X$137,MATCH($AD93,$W$118:$W$137,1))/(INDEX($AA$4:$AA$7,MATCH(INDOOR_1,$Z$4:$Z$7))+INDEX($AA$4:$AA$7,MATCH(INDOOR_2,$Z$4:$Z$7)))))</f>
        <v>36.025173789173792</v>
      </c>
      <c r="CC93" s="180"/>
      <c r="CD93" s="180"/>
      <c r="CE93" s="180"/>
      <c r="CF93" s="166">
        <f t="shared" ref="CF93:CF124" ca="1" si="119">SUM(CG93:CK93)</f>
        <v>23.118215633010099</v>
      </c>
      <c r="CG93" s="167">
        <f t="shared" ref="CG93:CJ124" ca="1" si="120">AL93*(INDEX($X$67:$X$86,MATCH($AD93,$W$67:$W$86,1)))</f>
        <v>7.9872765786705768</v>
      </c>
      <c r="CH93" s="167">
        <f t="shared" ca="1" si="120"/>
        <v>15.130939054339523</v>
      </c>
      <c r="CI93" s="178"/>
      <c r="CJ93" s="178"/>
      <c r="CK93" s="178"/>
    </row>
    <row r="94" spans="2:89">
      <c r="B94" s="283">
        <v>24</v>
      </c>
      <c r="C94" s="284">
        <v>89.6</v>
      </c>
      <c r="D94" s="284">
        <v>73.400000000000006</v>
      </c>
      <c r="E94" s="8" t="s">
        <v>17</v>
      </c>
      <c r="F94" s="8">
        <v>2.1800000000000002</v>
      </c>
      <c r="G94" s="19">
        <v>2.2200000000000002</v>
      </c>
      <c r="H94" s="19">
        <v>2.27</v>
      </c>
      <c r="I94" s="19">
        <v>2.38</v>
      </c>
      <c r="J94" s="19">
        <v>3.45</v>
      </c>
      <c r="K94" s="19">
        <v>2.4900000000000002</v>
      </c>
      <c r="L94" s="2">
        <v>2.52</v>
      </c>
      <c r="M94" s="2">
        <v>2.79</v>
      </c>
      <c r="N94" s="2">
        <v>3.1</v>
      </c>
      <c r="O94" s="2">
        <v>2.56</v>
      </c>
      <c r="P94" s="2">
        <v>2.61</v>
      </c>
      <c r="Q94" s="2">
        <v>2.7</v>
      </c>
      <c r="R94" s="6"/>
      <c r="AC94" s="164" t="s">
        <v>187</v>
      </c>
      <c r="AD94" s="164">
        <v>48</v>
      </c>
      <c r="AE94" s="165">
        <v>9</v>
      </c>
      <c r="AF94" s="165">
        <v>24</v>
      </c>
      <c r="AG94" s="165"/>
      <c r="AH94" s="164"/>
      <c r="AI94" s="164"/>
      <c r="AJ94" s="500"/>
      <c r="AK94" s="166">
        <f t="shared" ca="1" si="104"/>
        <v>34.915333333333329</v>
      </c>
      <c r="AL94" s="167">
        <f t="shared" ca="1" si="105"/>
        <v>10.463111111111111</v>
      </c>
      <c r="AM94" s="167">
        <f t="shared" ca="1" si="106"/>
        <v>24.452222222222218</v>
      </c>
      <c r="AN94" s="178"/>
      <c r="AO94" s="178"/>
      <c r="AP94" s="178"/>
      <c r="AQ94" s="169">
        <f t="shared" ca="1" si="107"/>
        <v>34.915333333333329</v>
      </c>
      <c r="AR94" s="170">
        <f ca="1">INDEX('Cap based on indoor unit SZ'!$J$6:$J$21,MATCH(AE94,'Cap based on indoor unit SZ'!$I$6:$I$21))</f>
        <v>10.463111111111111</v>
      </c>
      <c r="AS94" s="170">
        <f ca="1">INDEX('Cap based on indoor unit SZ'!$J$6:$J$21,MATCH(AF94,'Cap based on indoor unit SZ'!$I$6:$I$21))</f>
        <v>24.452222222222218</v>
      </c>
      <c r="AT94" s="179"/>
      <c r="AU94" s="179"/>
      <c r="AV94" s="179"/>
      <c r="AW94" s="169">
        <f t="shared" si="108"/>
        <v>33.5</v>
      </c>
      <c r="AX94" s="170">
        <v>9.5</v>
      </c>
      <c r="AY94" s="170">
        <v>24</v>
      </c>
      <c r="AZ94" s="179"/>
      <c r="BA94" s="179"/>
      <c r="BB94" s="179"/>
      <c r="BC94" s="172">
        <f t="shared" ca="1" si="109"/>
        <v>45.37555555555555</v>
      </c>
      <c r="BD94" s="173">
        <f t="shared" ca="1" si="110"/>
        <v>12.375151515151515</v>
      </c>
      <c r="BE94" s="173">
        <f t="shared" ca="1" si="111"/>
        <v>33.000404040404035</v>
      </c>
      <c r="BF94" s="180"/>
      <c r="BG94" s="180"/>
      <c r="BH94" s="180"/>
      <c r="BI94" s="166">
        <f t="shared" ca="1" si="112"/>
        <v>42.246020512820515</v>
      </c>
      <c r="BJ94" s="167">
        <f t="shared" ca="1" si="113"/>
        <v>11.956020512820512</v>
      </c>
      <c r="BK94" s="167">
        <f t="shared" ca="1" si="114"/>
        <v>30.290000000000003</v>
      </c>
      <c r="BL94" s="178"/>
      <c r="BM94" s="178"/>
      <c r="BN94" s="178"/>
      <c r="BO94" s="169">
        <f t="shared" ca="1" si="115"/>
        <v>42.246020512820515</v>
      </c>
      <c r="BP94" s="170">
        <f ca="1">INDEX('Cap based on indoor unit SZ'!$V$43:$V$58,MATCH(AE94,'Cap based on indoor unit SZ'!$U$43:$U$58))</f>
        <v>11.956020512820512</v>
      </c>
      <c r="BQ94" s="170">
        <f ca="1">INDEX('Cap based on indoor unit SZ'!$V$43:$V$58,MATCH(AF94,'Cap based on indoor unit SZ'!$U$43:$U$58))</f>
        <v>30.290000000000003</v>
      </c>
      <c r="BR94" s="179"/>
      <c r="BS94" s="179"/>
      <c r="BT94" s="179"/>
      <c r="BU94" s="175">
        <v>10000</v>
      </c>
      <c r="BV94" s="175">
        <v>25000</v>
      </c>
      <c r="BW94" s="179"/>
      <c r="BX94" s="179"/>
      <c r="BY94" s="179"/>
      <c r="BZ94" s="172">
        <f t="shared" ca="1" si="116"/>
        <v>54.037760683760688</v>
      </c>
      <c r="CA94" s="173">
        <f t="shared" ca="1" si="117"/>
        <v>14.737571095571097</v>
      </c>
      <c r="CB94" s="173">
        <f t="shared" ca="1" si="118"/>
        <v>39.300189588189589</v>
      </c>
      <c r="CC94" s="180"/>
      <c r="CD94" s="180"/>
      <c r="CE94" s="180"/>
      <c r="CF94" s="166">
        <f t="shared" ca="1" si="119"/>
        <v>26.653489694251597</v>
      </c>
      <c r="CG94" s="167">
        <f t="shared" ca="1" si="120"/>
        <v>7.9872765786705768</v>
      </c>
      <c r="CH94" s="167">
        <f t="shared" ca="1" si="120"/>
        <v>18.666213115581019</v>
      </c>
      <c r="CI94" s="178"/>
      <c r="CJ94" s="178"/>
      <c r="CK94" s="178"/>
    </row>
    <row r="95" spans="2:89">
      <c r="B95" s="283">
        <v>30</v>
      </c>
      <c r="C95" s="284">
        <v>69.8</v>
      </c>
      <c r="D95" s="284">
        <v>59</v>
      </c>
      <c r="E95" s="8" t="s">
        <v>17</v>
      </c>
      <c r="F95" s="8">
        <v>3.26</v>
      </c>
      <c r="G95" s="19">
        <v>3.32</v>
      </c>
      <c r="H95" s="19">
        <v>3.41</v>
      </c>
      <c r="I95" s="19">
        <v>3.48</v>
      </c>
      <c r="J95" s="19">
        <v>3.52</v>
      </c>
      <c r="K95" s="19">
        <v>3.6</v>
      </c>
      <c r="L95" s="2">
        <v>3.64</v>
      </c>
      <c r="M95" s="2">
        <v>3.69</v>
      </c>
      <c r="N95" s="2">
        <v>4.04</v>
      </c>
      <c r="O95" s="2">
        <v>3.15</v>
      </c>
      <c r="P95" s="2">
        <v>3.2</v>
      </c>
      <c r="Q95" s="2">
        <v>2.86</v>
      </c>
      <c r="R95" s="6"/>
      <c r="AC95" s="164" t="s">
        <v>186</v>
      </c>
      <c r="AD95" s="164">
        <v>48</v>
      </c>
      <c r="AE95" s="165">
        <v>12</v>
      </c>
      <c r="AF95" s="165">
        <v>12</v>
      </c>
      <c r="AG95" s="165"/>
      <c r="AH95" s="164"/>
      <c r="AI95" s="164"/>
      <c r="AJ95" s="500"/>
      <c r="AK95" s="166">
        <f t="shared" ca="1" si="104"/>
        <v>26.157777777777781</v>
      </c>
      <c r="AL95" s="167">
        <f t="shared" ca="1" si="105"/>
        <v>13.078888888888891</v>
      </c>
      <c r="AM95" s="167">
        <f t="shared" ca="1" si="106"/>
        <v>13.078888888888891</v>
      </c>
      <c r="AN95" s="178"/>
      <c r="AO95" s="178"/>
      <c r="AP95" s="178"/>
      <c r="AQ95" s="169">
        <f t="shared" ca="1" si="107"/>
        <v>26.157777777777781</v>
      </c>
      <c r="AR95" s="170">
        <f ca="1">INDEX('Cap based on indoor unit SZ'!$J$6:$J$21,MATCH(AE95,'Cap based on indoor unit SZ'!$I$6:$I$21))</f>
        <v>13.078888888888891</v>
      </c>
      <c r="AS95" s="170">
        <f ca="1">INDEX('Cap based on indoor unit SZ'!$J$6:$J$21,MATCH(AF95,'Cap based on indoor unit SZ'!$I$6:$I$21))</f>
        <v>13.078888888888891</v>
      </c>
      <c r="AT95" s="179"/>
      <c r="AU95" s="179"/>
      <c r="AV95" s="179"/>
      <c r="AW95" s="169">
        <f t="shared" si="108"/>
        <v>25</v>
      </c>
      <c r="AX95" s="170">
        <v>12.5</v>
      </c>
      <c r="AY95" s="170">
        <v>12.5</v>
      </c>
      <c r="AZ95" s="179"/>
      <c r="BA95" s="179"/>
      <c r="BB95" s="179"/>
      <c r="BC95" s="172">
        <f t="shared" ca="1" si="109"/>
        <v>45.37555555555555</v>
      </c>
      <c r="BD95" s="173">
        <f t="shared" ca="1" si="110"/>
        <v>22.687777777777775</v>
      </c>
      <c r="BE95" s="173">
        <f t="shared" ca="1" si="111"/>
        <v>22.687777777777775</v>
      </c>
      <c r="BF95" s="180"/>
      <c r="BG95" s="180"/>
      <c r="BH95" s="180"/>
      <c r="BI95" s="166">
        <f t="shared" ca="1" si="112"/>
        <v>29.890051282051282</v>
      </c>
      <c r="BJ95" s="167">
        <f t="shared" ca="1" si="113"/>
        <v>14.945025641025641</v>
      </c>
      <c r="BK95" s="167">
        <f t="shared" ca="1" si="114"/>
        <v>14.945025641025641</v>
      </c>
      <c r="BL95" s="178"/>
      <c r="BM95" s="178"/>
      <c r="BN95" s="178"/>
      <c r="BO95" s="169">
        <f t="shared" ca="1" si="115"/>
        <v>29.890051282051282</v>
      </c>
      <c r="BP95" s="170">
        <f ca="1">INDEX('Cap based on indoor unit SZ'!$V$43:$V$58,MATCH(AE95,'Cap based on indoor unit SZ'!$U$43:$U$58))</f>
        <v>14.945025641025641</v>
      </c>
      <c r="BQ95" s="170">
        <f ca="1">INDEX('Cap based on indoor unit SZ'!$V$43:$V$58,MATCH(AF95,'Cap based on indoor unit SZ'!$U$43:$U$58))</f>
        <v>14.945025641025641</v>
      </c>
      <c r="BR95" s="179"/>
      <c r="BS95" s="179"/>
      <c r="BT95" s="179"/>
      <c r="BU95" s="175">
        <v>13000</v>
      </c>
      <c r="BV95" s="175">
        <v>13000</v>
      </c>
      <c r="BW95" s="179"/>
      <c r="BX95" s="179"/>
      <c r="BY95" s="179"/>
      <c r="BZ95" s="172">
        <f t="shared" ca="1" si="116"/>
        <v>54.037760683760695</v>
      </c>
      <c r="CA95" s="173">
        <f t="shared" ca="1" si="117"/>
        <v>27.018880341880347</v>
      </c>
      <c r="CB95" s="173">
        <f t="shared" ca="1" si="118"/>
        <v>27.018880341880347</v>
      </c>
      <c r="CC95" s="180"/>
      <c r="CD95" s="180"/>
      <c r="CE95" s="180"/>
      <c r="CF95" s="166">
        <f t="shared" ca="1" si="119"/>
        <v>19.968191446676446</v>
      </c>
      <c r="CG95" s="167">
        <f t="shared" ca="1" si="120"/>
        <v>9.984095723338223</v>
      </c>
      <c r="CH95" s="167">
        <f t="shared" ca="1" si="120"/>
        <v>9.984095723338223</v>
      </c>
      <c r="CI95" s="178"/>
      <c r="CJ95" s="178"/>
      <c r="CK95" s="178"/>
    </row>
    <row r="96" spans="2:89">
      <c r="B96" s="283">
        <v>30</v>
      </c>
      <c r="C96" s="284">
        <v>75.2</v>
      </c>
      <c r="D96" s="284">
        <v>62.6</v>
      </c>
      <c r="E96" s="8" t="s">
        <v>17</v>
      </c>
      <c r="F96" s="8">
        <v>3.31</v>
      </c>
      <c r="G96" s="19">
        <v>3.37</v>
      </c>
      <c r="H96" s="19">
        <v>3.46</v>
      </c>
      <c r="I96" s="19">
        <v>3.53</v>
      </c>
      <c r="J96" s="19">
        <v>3.57</v>
      </c>
      <c r="K96" s="19">
        <v>3.65</v>
      </c>
      <c r="L96" s="2">
        <v>3.69</v>
      </c>
      <c r="M96" s="2">
        <v>3.74</v>
      </c>
      <c r="N96" s="2">
        <v>4.09</v>
      </c>
      <c r="O96" s="2">
        <v>3.2</v>
      </c>
      <c r="P96" s="2">
        <v>3.25</v>
      </c>
      <c r="Q96" s="2">
        <v>2.91</v>
      </c>
      <c r="R96" s="6"/>
      <c r="AC96" s="164" t="s">
        <v>185</v>
      </c>
      <c r="AD96" s="164">
        <v>48</v>
      </c>
      <c r="AE96" s="165">
        <v>12</v>
      </c>
      <c r="AF96" s="165">
        <v>18</v>
      </c>
      <c r="AG96" s="165"/>
      <c r="AH96" s="164"/>
      <c r="AI96" s="164"/>
      <c r="AJ96" s="500"/>
      <c r="AK96" s="166">
        <f t="shared" ca="1" si="104"/>
        <v>32.900000000000006</v>
      </c>
      <c r="AL96" s="167">
        <f t="shared" ca="1" si="105"/>
        <v>13.078888888888891</v>
      </c>
      <c r="AM96" s="167">
        <f t="shared" ca="1" si="106"/>
        <v>19.821111111111112</v>
      </c>
      <c r="AN96" s="178"/>
      <c r="AO96" s="178"/>
      <c r="AP96" s="178"/>
      <c r="AQ96" s="169">
        <f t="shared" ca="1" si="107"/>
        <v>32.900000000000006</v>
      </c>
      <c r="AR96" s="170">
        <f ca="1">INDEX('Cap based on indoor unit SZ'!$J$6:$J$21,MATCH(AE96,'Cap based on indoor unit SZ'!$I$6:$I$21))</f>
        <v>13.078888888888891</v>
      </c>
      <c r="AS96" s="170">
        <f ca="1">INDEX('Cap based on indoor unit SZ'!$J$6:$J$21,MATCH(AF96,'Cap based on indoor unit SZ'!$I$6:$I$21))</f>
        <v>19.821111111111112</v>
      </c>
      <c r="AT96" s="179"/>
      <c r="AU96" s="179"/>
      <c r="AV96" s="179"/>
      <c r="AW96" s="169">
        <f t="shared" si="108"/>
        <v>30</v>
      </c>
      <c r="AX96" s="170">
        <v>12</v>
      </c>
      <c r="AY96" s="170">
        <v>18</v>
      </c>
      <c r="AZ96" s="179"/>
      <c r="BA96" s="179"/>
      <c r="BB96" s="179"/>
      <c r="BC96" s="172">
        <f t="shared" ca="1" si="109"/>
        <v>45.37555555555555</v>
      </c>
      <c r="BD96" s="173">
        <f t="shared" ca="1" si="110"/>
        <v>18.150222222222219</v>
      </c>
      <c r="BE96" s="173">
        <f t="shared" ca="1" si="111"/>
        <v>27.225333333333332</v>
      </c>
      <c r="BF96" s="180"/>
      <c r="BG96" s="180"/>
      <c r="BH96" s="180"/>
      <c r="BI96" s="166">
        <f t="shared" ca="1" si="112"/>
        <v>39.543846153846154</v>
      </c>
      <c r="BJ96" s="167">
        <f t="shared" ca="1" si="113"/>
        <v>14.945025641025641</v>
      </c>
      <c r="BK96" s="167">
        <f t="shared" ca="1" si="114"/>
        <v>24.598820512820513</v>
      </c>
      <c r="BL96" s="178"/>
      <c r="BM96" s="178"/>
      <c r="BN96" s="178"/>
      <c r="BO96" s="169">
        <f t="shared" ca="1" si="115"/>
        <v>39.543846153846154</v>
      </c>
      <c r="BP96" s="170">
        <f ca="1">INDEX('Cap based on indoor unit SZ'!$V$43:$V$58,MATCH(AE96,'Cap based on indoor unit SZ'!$U$43:$U$58))</f>
        <v>14.945025641025641</v>
      </c>
      <c r="BQ96" s="170">
        <f ca="1">INDEX('Cap based on indoor unit SZ'!$V$43:$V$58,MATCH(AF96,'Cap based on indoor unit SZ'!$U$43:$U$58))</f>
        <v>24.598820512820513</v>
      </c>
      <c r="BR96" s="179"/>
      <c r="BS96" s="179"/>
      <c r="BT96" s="179"/>
      <c r="BU96" s="175">
        <v>13000</v>
      </c>
      <c r="BV96" s="175">
        <v>19000</v>
      </c>
      <c r="BW96" s="179"/>
      <c r="BX96" s="179"/>
      <c r="BY96" s="179"/>
      <c r="BZ96" s="172">
        <f t="shared" ca="1" si="116"/>
        <v>54.037760683760695</v>
      </c>
      <c r="CA96" s="173">
        <f t="shared" ca="1" si="117"/>
        <v>21.615104273504276</v>
      </c>
      <c r="CB96" s="173">
        <f t="shared" ca="1" si="118"/>
        <v>32.422656410256415</v>
      </c>
      <c r="CC96" s="180"/>
      <c r="CD96" s="180"/>
      <c r="CE96" s="180"/>
      <c r="CF96" s="166">
        <f t="shared" ca="1" si="119"/>
        <v>25.115034777677746</v>
      </c>
      <c r="CG96" s="167">
        <f t="shared" ca="1" si="120"/>
        <v>9.984095723338223</v>
      </c>
      <c r="CH96" s="167">
        <f t="shared" ca="1" si="120"/>
        <v>15.130939054339523</v>
      </c>
      <c r="CI96" s="178"/>
      <c r="CJ96" s="178"/>
      <c r="CK96" s="178"/>
    </row>
    <row r="97" spans="2:89">
      <c r="B97" s="283">
        <v>30</v>
      </c>
      <c r="C97" s="284">
        <v>80.599999999999994</v>
      </c>
      <c r="D97" s="284">
        <v>66.2</v>
      </c>
      <c r="E97" s="8" t="s">
        <v>17</v>
      </c>
      <c r="F97" s="8">
        <v>3.34</v>
      </c>
      <c r="G97" s="19">
        <v>3.4</v>
      </c>
      <c r="H97" s="19">
        <v>3.49</v>
      </c>
      <c r="I97" s="19">
        <v>3.56</v>
      </c>
      <c r="J97" s="19">
        <v>3.6</v>
      </c>
      <c r="K97" s="19">
        <v>3.68</v>
      </c>
      <c r="L97" s="2">
        <v>3.72</v>
      </c>
      <c r="M97" s="2">
        <v>3.76</v>
      </c>
      <c r="N97" s="2">
        <v>4.1399999999999997</v>
      </c>
      <c r="O97" s="2">
        <v>3.26</v>
      </c>
      <c r="P97" s="2">
        <v>3.29</v>
      </c>
      <c r="Q97" s="2">
        <v>2.79</v>
      </c>
      <c r="R97" s="6"/>
      <c r="AC97" s="164" t="s">
        <v>184</v>
      </c>
      <c r="AD97" s="164">
        <v>48</v>
      </c>
      <c r="AE97" s="165">
        <v>12</v>
      </c>
      <c r="AF97" s="165">
        <v>24</v>
      </c>
      <c r="AG97" s="165"/>
      <c r="AH97" s="164"/>
      <c r="AI97" s="164"/>
      <c r="AJ97" s="500"/>
      <c r="AK97" s="166">
        <f t="shared" ca="1" si="104"/>
        <v>37.531111111111109</v>
      </c>
      <c r="AL97" s="167">
        <f t="shared" ca="1" si="105"/>
        <v>13.078888888888891</v>
      </c>
      <c r="AM97" s="167">
        <f t="shared" ca="1" si="106"/>
        <v>24.452222222222218</v>
      </c>
      <c r="AN97" s="178"/>
      <c r="AO97" s="178"/>
      <c r="AP97" s="178"/>
      <c r="AQ97" s="169">
        <f t="shared" ca="1" si="107"/>
        <v>37.531111111111109</v>
      </c>
      <c r="AR97" s="170">
        <f ca="1">INDEX('Cap based on indoor unit SZ'!$J$6:$J$21,MATCH(AE97,'Cap based on indoor unit SZ'!$I$6:$I$21))</f>
        <v>13.078888888888891</v>
      </c>
      <c r="AS97" s="170">
        <f ca="1">INDEX('Cap based on indoor unit SZ'!$J$6:$J$21,MATCH(AF97,'Cap based on indoor unit SZ'!$I$6:$I$21))</f>
        <v>24.452222222222218</v>
      </c>
      <c r="AT97" s="179"/>
      <c r="AU97" s="179"/>
      <c r="AV97" s="179"/>
      <c r="AW97" s="169">
        <f t="shared" si="108"/>
        <v>36</v>
      </c>
      <c r="AX97" s="170">
        <v>12</v>
      </c>
      <c r="AY97" s="170">
        <v>24</v>
      </c>
      <c r="AZ97" s="179"/>
      <c r="BA97" s="179"/>
      <c r="BB97" s="179"/>
      <c r="BC97" s="172">
        <f t="shared" ca="1" si="109"/>
        <v>45.37555555555555</v>
      </c>
      <c r="BD97" s="173">
        <f t="shared" ca="1" si="110"/>
        <v>15.125185185185183</v>
      </c>
      <c r="BE97" s="173">
        <f t="shared" ca="1" si="111"/>
        <v>30.250370370370366</v>
      </c>
      <c r="BF97" s="180"/>
      <c r="BG97" s="180"/>
      <c r="BH97" s="180"/>
      <c r="BI97" s="166">
        <f t="shared" ca="1" si="112"/>
        <v>45.235025641025643</v>
      </c>
      <c r="BJ97" s="167">
        <f t="shared" ca="1" si="113"/>
        <v>14.945025641025641</v>
      </c>
      <c r="BK97" s="167">
        <f t="shared" ca="1" si="114"/>
        <v>30.290000000000003</v>
      </c>
      <c r="BL97" s="178"/>
      <c r="BM97" s="178"/>
      <c r="BN97" s="178"/>
      <c r="BO97" s="169">
        <f t="shared" ca="1" si="115"/>
        <v>45.235025641025643</v>
      </c>
      <c r="BP97" s="170">
        <f ca="1">INDEX('Cap based on indoor unit SZ'!$V$43:$V$58,MATCH(AE97,'Cap based on indoor unit SZ'!$U$43:$U$58))</f>
        <v>14.945025641025641</v>
      </c>
      <c r="BQ97" s="170">
        <f ca="1">INDEX('Cap based on indoor unit SZ'!$V$43:$V$58,MATCH(AF97,'Cap based on indoor unit SZ'!$U$43:$U$58))</f>
        <v>30.290000000000003</v>
      </c>
      <c r="BR97" s="179"/>
      <c r="BS97" s="179"/>
      <c r="BT97" s="179"/>
      <c r="BU97" s="175">
        <v>12500</v>
      </c>
      <c r="BV97" s="175">
        <v>25000</v>
      </c>
      <c r="BW97" s="179"/>
      <c r="BX97" s="179"/>
      <c r="BY97" s="179"/>
      <c r="BZ97" s="172">
        <f t="shared" ca="1" si="116"/>
        <v>54.037760683760688</v>
      </c>
      <c r="CA97" s="173">
        <f t="shared" ca="1" si="117"/>
        <v>18.012586894586896</v>
      </c>
      <c r="CB97" s="173">
        <f t="shared" ca="1" si="118"/>
        <v>36.025173789173792</v>
      </c>
      <c r="CC97" s="180"/>
      <c r="CD97" s="180"/>
      <c r="CE97" s="180"/>
      <c r="CF97" s="166">
        <f t="shared" ca="1" si="119"/>
        <v>28.650308838919244</v>
      </c>
      <c r="CG97" s="167">
        <f t="shared" ca="1" si="120"/>
        <v>9.984095723338223</v>
      </c>
      <c r="CH97" s="167">
        <f t="shared" ca="1" si="120"/>
        <v>18.666213115581019</v>
      </c>
      <c r="CI97" s="178"/>
      <c r="CJ97" s="178"/>
      <c r="CK97" s="178"/>
    </row>
    <row r="98" spans="2:89">
      <c r="B98" s="283">
        <v>30</v>
      </c>
      <c r="C98" s="284">
        <v>89.6</v>
      </c>
      <c r="D98" s="284">
        <v>73.400000000000006</v>
      </c>
      <c r="E98" s="8" t="s">
        <v>17</v>
      </c>
      <c r="F98" s="8">
        <v>3.39</v>
      </c>
      <c r="G98" s="19">
        <v>3.46</v>
      </c>
      <c r="H98" s="19">
        <v>3.55</v>
      </c>
      <c r="I98" s="19">
        <v>3.62</v>
      </c>
      <c r="J98" s="19">
        <v>3.66</v>
      </c>
      <c r="K98" s="19">
        <v>3.74</v>
      </c>
      <c r="L98" s="2">
        <v>3.78</v>
      </c>
      <c r="M98" s="2">
        <v>3.82</v>
      </c>
      <c r="N98" s="2">
        <v>4.2</v>
      </c>
      <c r="O98" s="2">
        <v>3.32</v>
      </c>
      <c r="P98" s="2">
        <v>3.35</v>
      </c>
      <c r="Q98" s="2">
        <v>2.85</v>
      </c>
      <c r="R98" s="6"/>
      <c r="AC98" s="164" t="s">
        <v>183</v>
      </c>
      <c r="AD98" s="164">
        <v>48</v>
      </c>
      <c r="AE98" s="165">
        <v>18</v>
      </c>
      <c r="AF98" s="165">
        <v>18</v>
      </c>
      <c r="AG98" s="165"/>
      <c r="AH98" s="164"/>
      <c r="AI98" s="164"/>
      <c r="AJ98" s="500"/>
      <c r="AK98" s="166">
        <f t="shared" ca="1" si="104"/>
        <v>39.642222222222223</v>
      </c>
      <c r="AL98" s="167">
        <f t="shared" ca="1" si="105"/>
        <v>19.821111111111112</v>
      </c>
      <c r="AM98" s="167">
        <f t="shared" ca="1" si="106"/>
        <v>19.821111111111112</v>
      </c>
      <c r="AN98" s="178"/>
      <c r="AO98" s="178"/>
      <c r="AP98" s="178"/>
      <c r="AQ98" s="169">
        <f t="shared" ca="1" si="107"/>
        <v>39.642222222222223</v>
      </c>
      <c r="AR98" s="170">
        <f ca="1">INDEX('Cap based on indoor unit SZ'!$J$6:$J$21,MATCH(AE98,'Cap based on indoor unit SZ'!$I$6:$I$21))</f>
        <v>19.821111111111112</v>
      </c>
      <c r="AS98" s="170">
        <f ca="1">INDEX('Cap based on indoor unit SZ'!$J$6:$J$21,MATCH(AF98,'Cap based on indoor unit SZ'!$I$6:$I$21))</f>
        <v>19.821111111111112</v>
      </c>
      <c r="AT98" s="179"/>
      <c r="AU98" s="179"/>
      <c r="AV98" s="179"/>
      <c r="AW98" s="169">
        <f t="shared" si="108"/>
        <v>37</v>
      </c>
      <c r="AX98" s="170">
        <v>18.5</v>
      </c>
      <c r="AY98" s="170">
        <v>18.5</v>
      </c>
      <c r="AZ98" s="179"/>
      <c r="BA98" s="179"/>
      <c r="BB98" s="179"/>
      <c r="BC98" s="172">
        <f t="shared" ca="1" si="109"/>
        <v>45.37555555555555</v>
      </c>
      <c r="BD98" s="173">
        <f t="shared" ca="1" si="110"/>
        <v>22.687777777777775</v>
      </c>
      <c r="BE98" s="173">
        <f t="shared" ca="1" si="111"/>
        <v>22.687777777777775</v>
      </c>
      <c r="BF98" s="180"/>
      <c r="BG98" s="180"/>
      <c r="BH98" s="180"/>
      <c r="BI98" s="166">
        <f t="shared" ca="1" si="112"/>
        <v>49.197641025641026</v>
      </c>
      <c r="BJ98" s="167">
        <f t="shared" ca="1" si="113"/>
        <v>24.598820512820513</v>
      </c>
      <c r="BK98" s="167">
        <f t="shared" ca="1" si="114"/>
        <v>24.598820512820513</v>
      </c>
      <c r="BL98" s="178"/>
      <c r="BM98" s="178"/>
      <c r="BN98" s="178"/>
      <c r="BO98" s="169">
        <f t="shared" ca="1" si="115"/>
        <v>49.197641025641026</v>
      </c>
      <c r="BP98" s="170">
        <f ca="1">INDEX('Cap based on indoor unit SZ'!$V$43:$V$58,MATCH(AE98,'Cap based on indoor unit SZ'!$U$43:$U$58))</f>
        <v>24.598820512820513</v>
      </c>
      <c r="BQ98" s="170">
        <f ca="1">INDEX('Cap based on indoor unit SZ'!$V$43:$V$58,MATCH(AF98,'Cap based on indoor unit SZ'!$U$43:$U$58))</f>
        <v>24.598820512820513</v>
      </c>
      <c r="BR98" s="179"/>
      <c r="BS98" s="179"/>
      <c r="BT98" s="179"/>
      <c r="BU98" s="175">
        <v>19000</v>
      </c>
      <c r="BV98" s="175">
        <v>19000</v>
      </c>
      <c r="BW98" s="179"/>
      <c r="BX98" s="179"/>
      <c r="BY98" s="179"/>
      <c r="BZ98" s="172">
        <f t="shared" ca="1" si="116"/>
        <v>54.037760683760688</v>
      </c>
      <c r="CA98" s="173">
        <f t="shared" ca="1" si="117"/>
        <v>27.018880341880344</v>
      </c>
      <c r="CB98" s="173">
        <f t="shared" ca="1" si="118"/>
        <v>27.018880341880344</v>
      </c>
      <c r="CC98" s="180"/>
      <c r="CD98" s="180"/>
      <c r="CE98" s="180"/>
      <c r="CF98" s="166">
        <f t="shared" ca="1" si="119"/>
        <v>30.261878108679046</v>
      </c>
      <c r="CG98" s="167">
        <f t="shared" ca="1" si="120"/>
        <v>15.130939054339523</v>
      </c>
      <c r="CH98" s="167">
        <f t="shared" ca="1" si="120"/>
        <v>15.130939054339523</v>
      </c>
      <c r="CI98" s="178"/>
      <c r="CJ98" s="178"/>
      <c r="CK98" s="178"/>
    </row>
    <row r="99" spans="2:89">
      <c r="B99" s="283">
        <v>36</v>
      </c>
      <c r="C99" s="284">
        <v>69.8</v>
      </c>
      <c r="D99" s="284">
        <v>59</v>
      </c>
      <c r="E99" s="8" t="s">
        <v>17</v>
      </c>
      <c r="F99" s="8">
        <v>2.77</v>
      </c>
      <c r="G99" s="19">
        <v>2.82</v>
      </c>
      <c r="H99" s="19">
        <v>2.89</v>
      </c>
      <c r="I99" s="19">
        <v>2.93</v>
      </c>
      <c r="J99" s="19">
        <v>2.97</v>
      </c>
      <c r="K99" s="19">
        <v>3.04</v>
      </c>
      <c r="L99" s="2">
        <v>3.09</v>
      </c>
      <c r="M99" s="2">
        <v>3.46</v>
      </c>
      <c r="N99" s="2">
        <v>3.87</v>
      </c>
      <c r="O99" s="2">
        <v>3.76</v>
      </c>
      <c r="P99" s="2">
        <v>3.84</v>
      </c>
      <c r="Q99" s="2">
        <v>3.48</v>
      </c>
      <c r="R99" s="6"/>
      <c r="AC99" s="164" t="s">
        <v>182</v>
      </c>
      <c r="AD99" s="164">
        <v>48</v>
      </c>
      <c r="AE99" s="165">
        <v>18</v>
      </c>
      <c r="AF99" s="165">
        <v>24</v>
      </c>
      <c r="AG99" s="165"/>
      <c r="AH99" s="164"/>
      <c r="AI99" s="164"/>
      <c r="AJ99" s="512"/>
      <c r="AK99" s="166">
        <f t="shared" ca="1" si="104"/>
        <v>43.898888888888884</v>
      </c>
      <c r="AL99" s="167">
        <f t="shared" ca="1" si="105"/>
        <v>19.446666666666665</v>
      </c>
      <c r="AM99" s="167">
        <f t="shared" ca="1" si="106"/>
        <v>24.452222222222218</v>
      </c>
      <c r="AN99" s="178"/>
      <c r="AO99" s="178"/>
      <c r="AP99" s="178"/>
      <c r="AQ99" s="169">
        <f t="shared" ca="1" si="107"/>
        <v>44.273333333333326</v>
      </c>
      <c r="AR99" s="170">
        <f ca="1">INDEX('Cap based on indoor unit SZ'!$J$6:$J$21,MATCH(AE99,'Cap based on indoor unit SZ'!$I$6:$I$21))</f>
        <v>19.821111111111112</v>
      </c>
      <c r="AS99" s="170">
        <f ca="1">INDEX('Cap based on indoor unit SZ'!$J$6:$J$21,MATCH(AF99,'Cap based on indoor unit SZ'!$I$6:$I$21))</f>
        <v>24.452222222222218</v>
      </c>
      <c r="AT99" s="179"/>
      <c r="AU99" s="179"/>
      <c r="AV99" s="179"/>
      <c r="AW99" s="169">
        <f t="shared" si="108"/>
        <v>40</v>
      </c>
      <c r="AX99" s="170">
        <v>17.5</v>
      </c>
      <c r="AY99" s="170">
        <v>22.5</v>
      </c>
      <c r="AZ99" s="179"/>
      <c r="BA99" s="179"/>
      <c r="BB99" s="179"/>
      <c r="BC99" s="172">
        <f t="shared" ca="1" si="109"/>
        <v>45.37555555555555</v>
      </c>
      <c r="BD99" s="173">
        <f t="shared" ca="1" si="110"/>
        <v>19.446666666666665</v>
      </c>
      <c r="BE99" s="173">
        <f t="shared" ca="1" si="111"/>
        <v>25.928888888888885</v>
      </c>
      <c r="BF99" s="180"/>
      <c r="BG99" s="180"/>
      <c r="BH99" s="180"/>
      <c r="BI99" s="166">
        <f t="shared" ca="1" si="112"/>
        <v>53.449040293040298</v>
      </c>
      <c r="BJ99" s="167">
        <f t="shared" ca="1" si="113"/>
        <v>23.159040293040299</v>
      </c>
      <c r="BK99" s="167">
        <f t="shared" ca="1" si="114"/>
        <v>30.290000000000003</v>
      </c>
      <c r="BL99" s="178"/>
      <c r="BM99" s="178"/>
      <c r="BN99" s="178"/>
      <c r="BO99" s="169">
        <f t="shared" ca="1" si="115"/>
        <v>54.888820512820516</v>
      </c>
      <c r="BP99" s="170">
        <f ca="1">INDEX('Cap based on indoor unit SZ'!$V$43:$V$58,MATCH(AE99,'Cap based on indoor unit SZ'!$U$43:$U$58))</f>
        <v>24.598820512820513</v>
      </c>
      <c r="BQ99" s="170">
        <f ca="1">INDEX('Cap based on indoor unit SZ'!$V$43:$V$58,MATCH(AF99,'Cap based on indoor unit SZ'!$U$43:$U$58))</f>
        <v>30.290000000000003</v>
      </c>
      <c r="BR99" s="179"/>
      <c r="BS99" s="179"/>
      <c r="BT99" s="179"/>
      <c r="BU99" s="175">
        <v>18000</v>
      </c>
      <c r="BV99" s="175">
        <v>23000</v>
      </c>
      <c r="BW99" s="179"/>
      <c r="BX99" s="179"/>
      <c r="BY99" s="179"/>
      <c r="BZ99" s="172">
        <f t="shared" ca="1" si="116"/>
        <v>54.037760683760695</v>
      </c>
      <c r="CA99" s="173">
        <f t="shared" ca="1" si="117"/>
        <v>23.159040293040299</v>
      </c>
      <c r="CB99" s="173">
        <f t="shared" ca="1" si="118"/>
        <v>30.878720390720396</v>
      </c>
      <c r="CC99" s="180"/>
      <c r="CD99" s="180"/>
      <c r="CE99" s="180"/>
      <c r="CF99" s="166">
        <f t="shared" ca="1" si="119"/>
        <v>33.511310673126303</v>
      </c>
      <c r="CG99" s="167">
        <f t="shared" ca="1" si="120"/>
        <v>14.845097557545284</v>
      </c>
      <c r="CH99" s="167">
        <f t="shared" ca="1" si="120"/>
        <v>18.666213115581019</v>
      </c>
      <c r="CI99" s="178"/>
      <c r="CJ99" s="178"/>
      <c r="CK99" s="178"/>
    </row>
    <row r="100" spans="2:89">
      <c r="B100" s="283">
        <v>36</v>
      </c>
      <c r="C100" s="284">
        <v>75.2</v>
      </c>
      <c r="D100" s="284">
        <v>62.6</v>
      </c>
      <c r="E100" s="8" t="s">
        <v>17</v>
      </c>
      <c r="F100" s="8">
        <v>2.84</v>
      </c>
      <c r="G100" s="19">
        <v>2.89</v>
      </c>
      <c r="H100" s="19">
        <v>2.96</v>
      </c>
      <c r="I100" s="19">
        <v>3</v>
      </c>
      <c r="J100" s="19">
        <v>3.04</v>
      </c>
      <c r="K100" s="19">
        <v>3.11</v>
      </c>
      <c r="L100" s="2">
        <v>3.16</v>
      </c>
      <c r="M100" s="2">
        <v>3.53</v>
      </c>
      <c r="N100" s="2">
        <v>3.94</v>
      </c>
      <c r="O100" s="2">
        <v>3.83</v>
      </c>
      <c r="P100" s="2">
        <v>3.91</v>
      </c>
      <c r="Q100" s="2">
        <v>3.55</v>
      </c>
      <c r="R100" s="6"/>
      <c r="AC100" s="164" t="s">
        <v>181</v>
      </c>
      <c r="AD100" s="164">
        <v>48</v>
      </c>
      <c r="AE100" s="165">
        <v>24</v>
      </c>
      <c r="AF100" s="165">
        <v>24</v>
      </c>
      <c r="AG100" s="165"/>
      <c r="AH100" s="164"/>
      <c r="AI100" s="164"/>
      <c r="AJ100" s="512"/>
      <c r="AK100" s="166">
        <f t="shared" ca="1" si="104"/>
        <v>45.37555555555555</v>
      </c>
      <c r="AL100" s="167">
        <f t="shared" ca="1" si="105"/>
        <v>22.687777777777775</v>
      </c>
      <c r="AM100" s="167">
        <f t="shared" ca="1" si="106"/>
        <v>22.687777777777775</v>
      </c>
      <c r="AN100" s="178"/>
      <c r="AO100" s="178"/>
      <c r="AP100" s="178"/>
      <c r="AQ100" s="169">
        <f t="shared" ca="1" si="107"/>
        <v>48.904444444444437</v>
      </c>
      <c r="AR100" s="170">
        <f ca="1">INDEX('Cap based on indoor unit SZ'!$J$6:$J$21,MATCH(AE100,'Cap based on indoor unit SZ'!$I$6:$I$21))</f>
        <v>24.452222222222218</v>
      </c>
      <c r="AS100" s="170">
        <f ca="1">INDEX('Cap based on indoor unit SZ'!$J$6:$J$21,MATCH(AF100,'Cap based on indoor unit SZ'!$I$6:$I$21))</f>
        <v>24.452222222222218</v>
      </c>
      <c r="AT100" s="179"/>
      <c r="AU100" s="179"/>
      <c r="AV100" s="179"/>
      <c r="AW100" s="169">
        <f t="shared" si="108"/>
        <v>42</v>
      </c>
      <c r="AX100" s="170">
        <v>21</v>
      </c>
      <c r="AY100" s="170">
        <v>21</v>
      </c>
      <c r="AZ100" s="179"/>
      <c r="BA100" s="179"/>
      <c r="BB100" s="179"/>
      <c r="BC100" s="172">
        <f t="shared" ca="1" si="109"/>
        <v>45.37555555555555</v>
      </c>
      <c r="BD100" s="173">
        <f t="shared" ca="1" si="110"/>
        <v>22.687777777777775</v>
      </c>
      <c r="BE100" s="173">
        <f t="shared" ca="1" si="111"/>
        <v>22.687777777777775</v>
      </c>
      <c r="BF100" s="180"/>
      <c r="BG100" s="180"/>
      <c r="BH100" s="180"/>
      <c r="BI100" s="166">
        <f t="shared" ca="1" si="112"/>
        <v>54.037760683760695</v>
      </c>
      <c r="BJ100" s="167">
        <f t="shared" ca="1" si="113"/>
        <v>27.018880341880347</v>
      </c>
      <c r="BK100" s="167">
        <f t="shared" ca="1" si="114"/>
        <v>27.018880341880347</v>
      </c>
      <c r="BL100" s="178"/>
      <c r="BM100" s="178"/>
      <c r="BN100" s="178"/>
      <c r="BO100" s="169">
        <f t="shared" ca="1" si="115"/>
        <v>60.580000000000005</v>
      </c>
      <c r="BP100" s="170">
        <f ca="1">INDEX('Cap based on indoor unit SZ'!$V$43:$V$58,MATCH(AE100,'Cap based on indoor unit SZ'!$U$43:$U$58))</f>
        <v>30.290000000000003</v>
      </c>
      <c r="BQ100" s="170">
        <f ca="1">INDEX('Cap based on indoor unit SZ'!$V$43:$V$58,MATCH(AF100,'Cap based on indoor unit SZ'!$U$43:$U$58))</f>
        <v>30.290000000000003</v>
      </c>
      <c r="BR100" s="179"/>
      <c r="BS100" s="179"/>
      <c r="BT100" s="179"/>
      <c r="BU100" s="175">
        <v>22000</v>
      </c>
      <c r="BV100" s="175">
        <v>22000</v>
      </c>
      <c r="BW100" s="179"/>
      <c r="BX100" s="179"/>
      <c r="BY100" s="179"/>
      <c r="BZ100" s="172">
        <f t="shared" ca="1" si="116"/>
        <v>54.037760683760695</v>
      </c>
      <c r="CA100" s="173">
        <f t="shared" ca="1" si="117"/>
        <v>27.018880341880347</v>
      </c>
      <c r="CB100" s="173">
        <f t="shared" ca="1" si="118"/>
        <v>27.018880341880347</v>
      </c>
      <c r="CC100" s="180"/>
      <c r="CD100" s="180"/>
      <c r="CE100" s="180"/>
      <c r="CF100" s="166">
        <f t="shared" ca="1" si="119"/>
        <v>34.638560967605663</v>
      </c>
      <c r="CG100" s="167">
        <f t="shared" ca="1" si="120"/>
        <v>17.319280483802832</v>
      </c>
      <c r="CH100" s="167">
        <f t="shared" ca="1" si="120"/>
        <v>17.319280483802832</v>
      </c>
      <c r="CI100" s="178"/>
      <c r="CJ100" s="178"/>
      <c r="CK100" s="178"/>
    </row>
    <row r="101" spans="2:89">
      <c r="B101" s="283">
        <v>36</v>
      </c>
      <c r="C101" s="284">
        <v>80.599999999999994</v>
      </c>
      <c r="D101" s="284">
        <v>66.2</v>
      </c>
      <c r="E101" s="8" t="s">
        <v>17</v>
      </c>
      <c r="F101" s="8">
        <v>2.87</v>
      </c>
      <c r="G101" s="19">
        <v>2.92</v>
      </c>
      <c r="H101" s="19">
        <v>2.95</v>
      </c>
      <c r="I101" s="19">
        <v>2.97</v>
      </c>
      <c r="J101" s="19">
        <v>3.01</v>
      </c>
      <c r="K101" s="19">
        <v>3.12</v>
      </c>
      <c r="L101" s="2">
        <v>3.16</v>
      </c>
      <c r="M101" s="2">
        <v>3.55</v>
      </c>
      <c r="N101" s="2">
        <v>3.99</v>
      </c>
      <c r="O101" s="2">
        <v>3.88</v>
      </c>
      <c r="P101" s="2">
        <v>3.93</v>
      </c>
      <c r="Q101" s="2">
        <v>3.54</v>
      </c>
      <c r="R101" s="6"/>
      <c r="AC101" s="164" t="s">
        <v>180</v>
      </c>
      <c r="AD101" s="164">
        <v>48</v>
      </c>
      <c r="AE101" s="165">
        <v>9</v>
      </c>
      <c r="AF101" s="165">
        <v>9</v>
      </c>
      <c r="AG101" s="165">
        <v>9</v>
      </c>
      <c r="AH101" s="164"/>
      <c r="AI101" s="164"/>
      <c r="AJ101" s="500">
        <v>3</v>
      </c>
      <c r="AK101" s="166">
        <f t="shared" ca="1" si="104"/>
        <v>31.389333333333333</v>
      </c>
      <c r="AL101" s="167">
        <f t="shared" ref="AL101:AL118" ca="1" si="121">IF((INDEX($AA$4:$AA$7,MATCH(INDOOR_1,$Z$4:$Z$7))*(INDEX($X$27:$X$46,MATCH($AD101,$W$27:$W$46,1))/(INDEX($AA$4:$AA$7,MATCH(INDOOR_1,$Z$4:$Z$7))+INDEX($AA$4:$AA$7,MATCH(INDOOR_2,$Z$4:$Z$7))+INDEX($AA$4:$AA$7,MATCH(INDOOR_3,$Z$4:$Z$7)))))
&gt;AR101,AR101,
(INDEX($AA$4:$AA$7,MATCH(INDOOR_1,$Z$4:$Z$7))*(INDEX($X$27:$X$46,MATCH($AD101,$W$27:$W$46,1))/(INDEX($AA$4:$AA$7,MATCH(INDOOR_1,$Z$4:$Z$7))+INDEX($AA$4:$AA$7,MATCH(INDOOR_2,$Z$4:$Z$7))+INDEX($AA$4:$AA$7,MATCH(INDOOR_3,$Z$4:$Z$7))))))</f>
        <v>10.463111111111111</v>
      </c>
      <c r="AM101" s="167">
        <f t="shared" ref="AM101:AM118" ca="1" si="122">IF((INDEX($AA$4:$AA$7,MATCH(INDOOR_2,$Z$4:$Z$7))*(INDEX($X$27:$X$46,MATCH($AD101,$W$27:$W$46,1))/(INDEX($AA$4:$AA$7,MATCH(INDOOR_1,$Z$4:$Z$7))+INDEX($AA$4:$AA$7,MATCH(INDOOR_2,$Z$4:$Z$7))+INDEX($AA$4:$AA$7,MATCH(INDOOR_3,$Z$4:$Z$7)))))
&gt;AS101,AS101,
(INDEX($AA$4:$AA$7,MATCH(INDOOR_2,$Z$4:$Z$7))*(INDEX($X$27:$X$46,MATCH($AD101,$W$27:$W$46,1))/(INDEX($AA$4:$AA$7,MATCH(INDOOR_1,$Z$4:$Z$7))+INDEX($AA$4:$AA$7,MATCH(INDOOR_2,$Z$4:$Z$7))+INDEX($AA$4:$AA$7,MATCH(INDOOR_3,$Z$4:$Z$7))))))</f>
        <v>10.463111111111111</v>
      </c>
      <c r="AN101" s="167">
        <f t="shared" ref="AN101:AN118" ca="1" si="123">IF((INDEX($AA$4:$AA$7,MATCH(INDOOR_3,$Z$4:$Z$7))*(INDEX($X$27:$X$46,MATCH($AD101,$W$27:$W$46,1))/(INDEX($AA$4:$AA$7,MATCH(INDOOR_1,$Z$4:$Z$7))+INDEX($AA$4:$AA$7,MATCH(INDOOR_2,$Z$4:$Z$7))+INDEX($AA$4:$AA$7,MATCH(INDOOR_3,$Z$4:$Z$7)))))
&gt;AT101,AT101,
(INDEX($AA$4:$AA$7,MATCH(INDOOR_3,$Z$4:$Z$7))*(INDEX($X$27:$X$46,MATCH($AD101,$W$27:$W$46,1))/(INDEX($AA$4:$AA$7,MATCH(INDOOR_1,$Z$4:$Z$7))+INDEX($AA$4:$AA$7,MATCH(INDOOR_2,$Z$4:$Z$7))+INDEX($AA$4:$AA$7,MATCH(INDOOR_3,$Z$4:$Z$7))))))</f>
        <v>10.463111111111111</v>
      </c>
      <c r="AO101" s="178"/>
      <c r="AP101" s="178"/>
      <c r="AQ101" s="169">
        <f t="shared" ca="1" si="107"/>
        <v>31.389333333333333</v>
      </c>
      <c r="AR101" s="170">
        <f ca="1">INDEX('Cap based on indoor unit SZ'!$J$6:$J$21,MATCH(AE101,'Cap based on indoor unit SZ'!$I$6:$I$21))</f>
        <v>10.463111111111111</v>
      </c>
      <c r="AS101" s="170">
        <f ca="1">INDEX('Cap based on indoor unit SZ'!$J$6:$J$21,MATCH(AF101,'Cap based on indoor unit SZ'!$I$6:$I$21))</f>
        <v>10.463111111111111</v>
      </c>
      <c r="AT101" s="170">
        <f ca="1">INDEX('Cap based on indoor unit SZ'!$J$6:$J$21,MATCH(AG101,'Cap based on indoor unit SZ'!$I$6:$I$21))</f>
        <v>10.463111111111111</v>
      </c>
      <c r="AU101" s="179"/>
      <c r="AV101" s="179"/>
      <c r="AW101" s="169">
        <f t="shared" si="108"/>
        <v>28.5</v>
      </c>
      <c r="AX101" s="170">
        <v>9.5</v>
      </c>
      <c r="AY101" s="170">
        <v>9.5</v>
      </c>
      <c r="AZ101" s="170">
        <v>9.5</v>
      </c>
      <c r="BA101" s="179"/>
      <c r="BB101" s="179"/>
      <c r="BC101" s="172">
        <f t="shared" ca="1" si="109"/>
        <v>45.37555555555555</v>
      </c>
      <c r="BD101" s="173">
        <f t="shared" ref="BD101:BF118" ca="1" si="124">(INDEX($AA$4:$AA$7,MATCH(AE101,$Z$4:$Z$7))*(INDEX($X$27:$X$46,MATCH($AD101,$W$27:$W$46,1))/(INDEX($AA$4:$AA$7,MATCH($AE101,$Z$4:$Z$7))+INDEX($AA$4:$AA$7,MATCH($AF101,$Z$4:$Z$7))+INDEX($AA$4:$AA$7,MATCH($AG101,$Z$4:$Z$7)))))</f>
        <v>15.125185185185183</v>
      </c>
      <c r="BE101" s="173">
        <f t="shared" ca="1" si="124"/>
        <v>15.125185185185183</v>
      </c>
      <c r="BF101" s="173">
        <f t="shared" ca="1" si="124"/>
        <v>15.125185185185183</v>
      </c>
      <c r="BG101" s="180"/>
      <c r="BH101" s="180"/>
      <c r="BI101" s="166">
        <f t="shared" ca="1" si="112"/>
        <v>35.868061538461532</v>
      </c>
      <c r="BJ101" s="167">
        <f t="shared" ref="BJ101:BJ118" ca="1" si="125">IF((INDEX($AA$4:$AA$7,MATCH(INDOOR_1,$Z$4:$Z$7))*(INDEX($X$118:$X$137,MATCH($AD101,$W$118:$W$137,1))/(INDEX($AA$4:$AA$7,MATCH(INDOOR_1,$Z$4:$Z$7))+INDEX($AA$4:$AA$7,MATCH(INDOOR_2,$Z$4:$Z$7))+INDEX($AA$4:$AA$7,MATCH(INDOOR_3,$Z$4:$Z$7)))))
&gt;BP101,BP101,
(INDEX($AA$4:$AA$7,MATCH(INDOOR_1,$Z$4:$Z$7))*(INDEX($X$118:$X$137,MATCH($AD101,$W$118:$W$137,1))/(INDEX($AA$4:$AA$7,MATCH(INDOOR_1,$Z$4:$Z$7))+INDEX($AA$4:$AA$7,MATCH(INDOOR_2,$Z$4:$Z$7))+INDEX($AA$4:$AA$7,MATCH(INDOOR_3,$Z$4:$Z$7))))))</f>
        <v>11.956020512820512</v>
      </c>
      <c r="BK101" s="167">
        <f t="shared" ref="BK101:BK118" ca="1" si="126">IF((INDEX($AA$4:$AA$7,MATCH(INDOOR_2,$Z$4:$Z$7))*(INDEX($X$118:$X$137,MATCH($AD101,$W$118:$W$137,1))/(INDEX($AA$4:$AA$7,MATCH(INDOOR_1,$Z$4:$Z$7))+INDEX($AA$4:$AA$7,MATCH(INDOOR_2,$Z$4:$Z$7))+INDEX($AA$4:$AA$7,MATCH(INDOOR_3,$Z$4:$Z$7)))))
&gt;BQ101,BQ101,
(INDEX($AA$4:$AA$7,MATCH(INDOOR_2,$Z$4:$Z$7))*(INDEX($X$118:$X$137,MATCH($AD101,$W$118:$W$137,1))/(INDEX($AA$4:$AA$7,MATCH(INDOOR_1,$Z$4:$Z$7))+INDEX($AA$4:$AA$7,MATCH(INDOOR_2,$Z$4:$Z$7))+INDEX($AA$4:$AA$7,MATCH(INDOOR_3,$Z$4:$Z$7))))))</f>
        <v>11.956020512820512</v>
      </c>
      <c r="BL101" s="167">
        <f t="shared" ref="BL101:BL118" ca="1" si="127">IF((INDEX($AA$4:$AA$7,MATCH(INDOOR_3,$Z$4:$Z$7))*(INDEX($X$118:$X$137,MATCH($AD101,$W$118:$W$137,1))/(INDEX($AA$4:$AA$7,MATCH(INDOOR_1,$Z$4:$Z$7))+INDEX($AA$4:$AA$7,MATCH(INDOOR_2,$Z$4:$Z$7))+INDEX($AA$4:$AA$7,MATCH(INDOOR_3,$Z$4:$Z$7)))))
&gt;BR101,BR101,
(INDEX($AA$4:$AA$7,MATCH(INDOOR_3,$Z$4:$Z$7))*(INDEX($X$118:$X$137,MATCH($AD101,$W$118:$W$137,1))/(INDEX($AA$4:$AA$7,MATCH(INDOOR_1,$Z$4:$Z$7))+INDEX($AA$4:$AA$7,MATCH(INDOOR_2,$Z$4:$Z$7))+INDEX($AA$4:$AA$7,MATCH(INDOOR_3,$Z$4:$Z$7))))))</f>
        <v>11.956020512820512</v>
      </c>
      <c r="BM101" s="178"/>
      <c r="BN101" s="178"/>
      <c r="BO101" s="169">
        <f t="shared" ca="1" si="115"/>
        <v>35.868061538461532</v>
      </c>
      <c r="BP101" s="170">
        <f ca="1">INDEX('Cap based on indoor unit SZ'!$V$43:$V$58,MATCH(AE101,'Cap based on indoor unit SZ'!$U$43:$U$58))</f>
        <v>11.956020512820512</v>
      </c>
      <c r="BQ101" s="170">
        <f ca="1">INDEX('Cap based on indoor unit SZ'!$V$43:$V$58,MATCH(AF101,'Cap based on indoor unit SZ'!$U$43:$U$58))</f>
        <v>11.956020512820512</v>
      </c>
      <c r="BR101" s="170">
        <f ca="1">INDEX('Cap based on indoor unit SZ'!$V$43:$V$58,MATCH(AG101,'Cap based on indoor unit SZ'!$U$43:$U$58))</f>
        <v>11.956020512820512</v>
      </c>
      <c r="BS101" s="179"/>
      <c r="BT101" s="179"/>
      <c r="BU101" s="175">
        <v>11000</v>
      </c>
      <c r="BV101" s="175">
        <v>11000</v>
      </c>
      <c r="BW101" s="175">
        <v>11000</v>
      </c>
      <c r="BX101" s="179"/>
      <c r="BY101" s="179"/>
      <c r="BZ101" s="172">
        <f t="shared" ca="1" si="116"/>
        <v>54.037760683760688</v>
      </c>
      <c r="CA101" s="173">
        <f t="shared" ref="CA101:CA118" ca="1" si="128">(INDEX($AA$4:$AA$7,MATCH(INDOOR_1,$Z$4:$Z$7))*(INDEX($X$118:$X$137,MATCH($AD101,$W$118:$W$137,1))/(INDEX($AA$4:$AA$7,MATCH(INDOOR_1,$Z$4:$Z$7))+INDEX($AA$4:$AA$7,MATCH(INDOOR_2,$Z$4:$Z$7))+INDEX($AA$4:$AA$7,MATCH(INDOOR_3,$Z$4:$Z$7)))))</f>
        <v>18.012586894586896</v>
      </c>
      <c r="CB101" s="173">
        <f t="shared" ref="CB101:CB118" ca="1" si="129">(INDEX($AA$4:$AA$7,MATCH(INDOOR_2,$Z$4:$Z$7))*(INDEX($X$118:$X$137,MATCH($AD101,$W$118:$W$137,1))/(INDEX($AA$4:$AA$7,MATCH(INDOOR_1,$Z$4:$Z$7))+INDEX($AA$4:$AA$7,MATCH(INDOOR_2,$Z$4:$Z$7))+INDEX($AA$4:$AA$7,MATCH(INDOOR_3,$Z$4:$Z$7)))))</f>
        <v>18.012586894586896</v>
      </c>
      <c r="CC101" s="173">
        <f t="shared" ref="CC101:CC118" ca="1" si="130">(INDEX($AA$4:$AA$7,MATCH(INDOOR_3,$Z$4:$Z$7))*(INDEX($X$118:$X$137,MATCH($AD101,$W$118:$W$137,1))/(INDEX($AA$4:$AA$7,MATCH(INDOOR_1,$Z$4:$Z$7))+INDEX($AA$4:$AA$7,MATCH(INDOOR_2,$Z$4:$Z$7))+INDEX($AA$4:$AA$7,MATCH(INDOOR_3,$Z$4:$Z$7)))))</f>
        <v>18.012586894586896</v>
      </c>
      <c r="CD101" s="180"/>
      <c r="CE101" s="180"/>
      <c r="CF101" s="166">
        <f t="shared" ca="1" si="119"/>
        <v>23.96182973601173</v>
      </c>
      <c r="CG101" s="167">
        <f t="shared" ca="1" si="120"/>
        <v>7.9872765786705768</v>
      </c>
      <c r="CH101" s="167">
        <f t="shared" ca="1" si="120"/>
        <v>7.9872765786705768</v>
      </c>
      <c r="CI101" s="167">
        <f t="shared" ca="1" si="120"/>
        <v>7.9872765786705768</v>
      </c>
      <c r="CJ101" s="178"/>
      <c r="CK101" s="178"/>
    </row>
    <row r="102" spans="2:89">
      <c r="B102" s="283">
        <v>36</v>
      </c>
      <c r="C102" s="284">
        <v>89.6</v>
      </c>
      <c r="D102" s="284">
        <v>73.400000000000006</v>
      </c>
      <c r="E102" s="8" t="s">
        <v>17</v>
      </c>
      <c r="F102" s="8">
        <v>2.93</v>
      </c>
      <c r="G102" s="19">
        <v>2.99</v>
      </c>
      <c r="H102" s="19">
        <v>3.02</v>
      </c>
      <c r="I102" s="19">
        <v>3.04</v>
      </c>
      <c r="J102" s="19">
        <v>3.08</v>
      </c>
      <c r="K102" s="19">
        <v>3.19</v>
      </c>
      <c r="L102" s="2">
        <v>3.23</v>
      </c>
      <c r="M102" s="2">
        <v>3.62</v>
      </c>
      <c r="N102" s="2">
        <v>4.0599999999999996</v>
      </c>
      <c r="O102" s="2">
        <v>3.95</v>
      </c>
      <c r="P102" s="2">
        <v>4</v>
      </c>
      <c r="Q102" s="2">
        <v>3.61</v>
      </c>
      <c r="R102" s="6"/>
      <c r="AC102" s="164" t="s">
        <v>179</v>
      </c>
      <c r="AD102" s="164">
        <v>48</v>
      </c>
      <c r="AE102" s="165">
        <v>9</v>
      </c>
      <c r="AF102" s="165">
        <v>9</v>
      </c>
      <c r="AG102" s="165">
        <v>12</v>
      </c>
      <c r="AH102" s="164"/>
      <c r="AI102" s="164"/>
      <c r="AJ102" s="500"/>
      <c r="AK102" s="166">
        <f t="shared" ca="1" si="104"/>
        <v>34.005111111111113</v>
      </c>
      <c r="AL102" s="167">
        <f t="shared" ca="1" si="121"/>
        <v>10.463111111111111</v>
      </c>
      <c r="AM102" s="167">
        <f t="shared" ca="1" si="122"/>
        <v>10.463111111111111</v>
      </c>
      <c r="AN102" s="167">
        <f t="shared" ca="1" si="123"/>
        <v>13.078888888888891</v>
      </c>
      <c r="AO102" s="178"/>
      <c r="AP102" s="178"/>
      <c r="AQ102" s="169">
        <f t="shared" ca="1" si="107"/>
        <v>34.005111111111113</v>
      </c>
      <c r="AR102" s="170">
        <f ca="1">INDEX('Cap based on indoor unit SZ'!$J$6:$J$21,MATCH(AE102,'Cap based on indoor unit SZ'!$I$6:$I$21))</f>
        <v>10.463111111111111</v>
      </c>
      <c r="AS102" s="170">
        <f ca="1">INDEX('Cap based on indoor unit SZ'!$J$6:$J$21,MATCH(AF102,'Cap based on indoor unit SZ'!$I$6:$I$21))</f>
        <v>10.463111111111111</v>
      </c>
      <c r="AT102" s="170">
        <f ca="1">INDEX('Cap based on indoor unit SZ'!$J$6:$J$21,MATCH(AG102,'Cap based on indoor unit SZ'!$I$6:$I$21))</f>
        <v>13.078888888888891</v>
      </c>
      <c r="AU102" s="179"/>
      <c r="AV102" s="179"/>
      <c r="AW102" s="169">
        <f t="shared" si="108"/>
        <v>31</v>
      </c>
      <c r="AX102" s="170">
        <v>9.5</v>
      </c>
      <c r="AY102" s="170">
        <v>9.5</v>
      </c>
      <c r="AZ102" s="170">
        <v>12</v>
      </c>
      <c r="BA102" s="179"/>
      <c r="BB102" s="179"/>
      <c r="BC102" s="172">
        <f t="shared" ca="1" si="109"/>
        <v>45.37555555555555</v>
      </c>
      <c r="BD102" s="173">
        <f t="shared" ca="1" si="124"/>
        <v>13.612666666666666</v>
      </c>
      <c r="BE102" s="173">
        <f t="shared" ca="1" si="124"/>
        <v>13.612666666666666</v>
      </c>
      <c r="BF102" s="173">
        <f t="shared" ca="1" si="124"/>
        <v>18.150222222222219</v>
      </c>
      <c r="BG102" s="180"/>
      <c r="BH102" s="180"/>
      <c r="BI102" s="166">
        <f t="shared" ca="1" si="112"/>
        <v>38.857066666666668</v>
      </c>
      <c r="BJ102" s="167">
        <f t="shared" ca="1" si="125"/>
        <v>11.956020512820512</v>
      </c>
      <c r="BK102" s="167">
        <f t="shared" ca="1" si="126"/>
        <v>11.956020512820512</v>
      </c>
      <c r="BL102" s="167">
        <f t="shared" ca="1" si="127"/>
        <v>14.945025641025641</v>
      </c>
      <c r="BM102" s="178"/>
      <c r="BN102" s="178"/>
      <c r="BO102" s="169">
        <f t="shared" ca="1" si="115"/>
        <v>38.857066666666668</v>
      </c>
      <c r="BP102" s="170">
        <f ca="1">INDEX('Cap based on indoor unit SZ'!$V$43:$V$58,MATCH(AE102,'Cap based on indoor unit SZ'!$U$43:$U$58))</f>
        <v>11.956020512820512</v>
      </c>
      <c r="BQ102" s="170">
        <f ca="1">INDEX('Cap based on indoor unit SZ'!$V$43:$V$58,MATCH(AF102,'Cap based on indoor unit SZ'!$U$43:$U$58))</f>
        <v>11.956020512820512</v>
      </c>
      <c r="BR102" s="170">
        <f ca="1">INDEX('Cap based on indoor unit SZ'!$V$43:$V$58,MATCH(AG102,'Cap based on indoor unit SZ'!$U$43:$U$58))</f>
        <v>14.945025641025641</v>
      </c>
      <c r="BS102" s="179"/>
      <c r="BT102" s="179"/>
      <c r="BU102" s="175">
        <v>10500</v>
      </c>
      <c r="BV102" s="175">
        <v>10500</v>
      </c>
      <c r="BW102" s="175">
        <v>13000</v>
      </c>
      <c r="BX102" s="179"/>
      <c r="BY102" s="179"/>
      <c r="BZ102" s="172">
        <f t="shared" ca="1" si="116"/>
        <v>54.037760683760695</v>
      </c>
      <c r="CA102" s="173">
        <f t="shared" ca="1" si="128"/>
        <v>16.211328205128208</v>
      </c>
      <c r="CB102" s="173">
        <f t="shared" ca="1" si="129"/>
        <v>16.211328205128208</v>
      </c>
      <c r="CC102" s="173">
        <f t="shared" ca="1" si="130"/>
        <v>21.615104273504276</v>
      </c>
      <c r="CD102" s="180"/>
      <c r="CE102" s="180"/>
      <c r="CF102" s="166">
        <f t="shared" ca="1" si="119"/>
        <v>25.958648880679377</v>
      </c>
      <c r="CG102" s="167">
        <f t="shared" ca="1" si="120"/>
        <v>7.9872765786705768</v>
      </c>
      <c r="CH102" s="167">
        <f t="shared" ca="1" si="120"/>
        <v>7.9872765786705768</v>
      </c>
      <c r="CI102" s="167">
        <f t="shared" ca="1" si="120"/>
        <v>9.984095723338223</v>
      </c>
      <c r="CJ102" s="178"/>
      <c r="CK102" s="178"/>
    </row>
    <row r="103" spans="2:89">
      <c r="B103" s="284">
        <v>48</v>
      </c>
      <c r="C103" s="284">
        <v>69.8</v>
      </c>
      <c r="D103" s="284">
        <v>59</v>
      </c>
      <c r="E103" s="8" t="s">
        <v>17</v>
      </c>
      <c r="F103" s="8">
        <v>2.2000000000000002</v>
      </c>
      <c r="G103" s="19">
        <v>2.2400000000000002</v>
      </c>
      <c r="H103" s="19">
        <v>2.2799999999999998</v>
      </c>
      <c r="I103" s="19">
        <v>2.35</v>
      </c>
      <c r="J103" s="19">
        <v>2.38</v>
      </c>
      <c r="K103" s="19">
        <v>2.41</v>
      </c>
      <c r="L103" s="2">
        <v>2.46</v>
      </c>
      <c r="M103" s="2">
        <v>2.78</v>
      </c>
      <c r="N103" s="2">
        <v>3.11</v>
      </c>
      <c r="O103" s="2">
        <v>3.45</v>
      </c>
      <c r="P103" s="2">
        <v>3.64</v>
      </c>
      <c r="Q103" s="2">
        <v>3.08</v>
      </c>
      <c r="R103" s="6"/>
      <c r="AC103" s="164" t="s">
        <v>178</v>
      </c>
      <c r="AD103" s="164">
        <v>48</v>
      </c>
      <c r="AE103" s="165">
        <v>9</v>
      </c>
      <c r="AF103" s="165">
        <v>9</v>
      </c>
      <c r="AG103" s="165">
        <v>18</v>
      </c>
      <c r="AH103" s="164"/>
      <c r="AI103" s="164"/>
      <c r="AJ103" s="500"/>
      <c r="AK103" s="166">
        <f t="shared" ca="1" si="104"/>
        <v>40.74733333333333</v>
      </c>
      <c r="AL103" s="167">
        <f t="shared" ca="1" si="121"/>
        <v>10.463111111111111</v>
      </c>
      <c r="AM103" s="167">
        <f t="shared" ca="1" si="122"/>
        <v>10.463111111111111</v>
      </c>
      <c r="AN103" s="167">
        <f t="shared" ca="1" si="123"/>
        <v>19.821111111111112</v>
      </c>
      <c r="AO103" s="178"/>
      <c r="AP103" s="178"/>
      <c r="AQ103" s="169">
        <f t="shared" ca="1" si="107"/>
        <v>40.74733333333333</v>
      </c>
      <c r="AR103" s="170">
        <f ca="1">INDEX('Cap based on indoor unit SZ'!$J$6:$J$21,MATCH(AE103,'Cap based on indoor unit SZ'!$I$6:$I$21))</f>
        <v>10.463111111111111</v>
      </c>
      <c r="AS103" s="170">
        <f ca="1">INDEX('Cap based on indoor unit SZ'!$J$6:$J$21,MATCH(AF103,'Cap based on indoor unit SZ'!$I$6:$I$21))</f>
        <v>10.463111111111111</v>
      </c>
      <c r="AT103" s="170">
        <f ca="1">INDEX('Cap based on indoor unit SZ'!$J$6:$J$21,MATCH(AG103,'Cap based on indoor unit SZ'!$I$6:$I$21))</f>
        <v>19.821111111111112</v>
      </c>
      <c r="AU103" s="179"/>
      <c r="AV103" s="179"/>
      <c r="AW103" s="169">
        <f t="shared" si="108"/>
        <v>37</v>
      </c>
      <c r="AX103" s="170">
        <v>9.5</v>
      </c>
      <c r="AY103" s="170">
        <v>9.5</v>
      </c>
      <c r="AZ103" s="170">
        <v>18</v>
      </c>
      <c r="BA103" s="179"/>
      <c r="BB103" s="179"/>
      <c r="BC103" s="172">
        <f t="shared" ca="1" si="109"/>
        <v>45.37555555555555</v>
      </c>
      <c r="BD103" s="173">
        <f t="shared" ca="1" si="124"/>
        <v>11.343888888888888</v>
      </c>
      <c r="BE103" s="173">
        <f t="shared" ca="1" si="124"/>
        <v>11.343888888888888</v>
      </c>
      <c r="BF103" s="173">
        <f t="shared" ca="1" si="124"/>
        <v>22.687777777777775</v>
      </c>
      <c r="BG103" s="180"/>
      <c r="BH103" s="180"/>
      <c r="BI103" s="166">
        <f t="shared" ca="1" si="112"/>
        <v>48.51086153846154</v>
      </c>
      <c r="BJ103" s="167">
        <f t="shared" ca="1" si="125"/>
        <v>11.956020512820512</v>
      </c>
      <c r="BK103" s="167">
        <f t="shared" ca="1" si="126"/>
        <v>11.956020512820512</v>
      </c>
      <c r="BL103" s="167">
        <f t="shared" ca="1" si="127"/>
        <v>24.598820512820513</v>
      </c>
      <c r="BM103" s="178"/>
      <c r="BN103" s="178"/>
      <c r="BO103" s="169">
        <f t="shared" ca="1" si="115"/>
        <v>48.51086153846154</v>
      </c>
      <c r="BP103" s="170">
        <f ca="1">INDEX('Cap based on indoor unit SZ'!$V$43:$V$58,MATCH(AE103,'Cap based on indoor unit SZ'!$U$43:$U$58))</f>
        <v>11.956020512820512</v>
      </c>
      <c r="BQ103" s="170">
        <f ca="1">INDEX('Cap based on indoor unit SZ'!$V$43:$V$58,MATCH(AF103,'Cap based on indoor unit SZ'!$U$43:$U$58))</f>
        <v>11.956020512820512</v>
      </c>
      <c r="BR103" s="170">
        <f ca="1">INDEX('Cap based on indoor unit SZ'!$V$43:$V$58,MATCH(AG103,'Cap based on indoor unit SZ'!$U$43:$U$58))</f>
        <v>24.598820512820513</v>
      </c>
      <c r="BS103" s="179"/>
      <c r="BT103" s="179"/>
      <c r="BU103" s="175">
        <v>10000</v>
      </c>
      <c r="BV103" s="175">
        <v>10000</v>
      </c>
      <c r="BW103" s="175">
        <v>19000</v>
      </c>
      <c r="BX103" s="179"/>
      <c r="BY103" s="179"/>
      <c r="BZ103" s="172">
        <f t="shared" ca="1" si="116"/>
        <v>54.037760683760688</v>
      </c>
      <c r="CA103" s="173">
        <f t="shared" ca="1" si="128"/>
        <v>13.509440170940172</v>
      </c>
      <c r="CB103" s="173">
        <f t="shared" ca="1" si="129"/>
        <v>13.509440170940172</v>
      </c>
      <c r="CC103" s="173">
        <f t="shared" ca="1" si="130"/>
        <v>27.018880341880344</v>
      </c>
      <c r="CD103" s="180"/>
      <c r="CE103" s="180"/>
      <c r="CF103" s="166">
        <f t="shared" ca="1" si="119"/>
        <v>31.105492211680676</v>
      </c>
      <c r="CG103" s="167">
        <f t="shared" ca="1" si="120"/>
        <v>7.9872765786705768</v>
      </c>
      <c r="CH103" s="167">
        <f t="shared" ca="1" si="120"/>
        <v>7.9872765786705768</v>
      </c>
      <c r="CI103" s="167">
        <f t="shared" ca="1" si="120"/>
        <v>15.130939054339523</v>
      </c>
      <c r="CJ103" s="178"/>
      <c r="CK103" s="178"/>
    </row>
    <row r="104" spans="2:89">
      <c r="B104" s="284">
        <v>48</v>
      </c>
      <c r="C104" s="284">
        <v>75.2</v>
      </c>
      <c r="D104" s="284">
        <v>62.6</v>
      </c>
      <c r="E104" s="8" t="s">
        <v>17</v>
      </c>
      <c r="F104" s="8">
        <v>2.27</v>
      </c>
      <c r="G104" s="19">
        <v>2.31</v>
      </c>
      <c r="H104" s="19">
        <v>2.35</v>
      </c>
      <c r="I104" s="19">
        <v>2.42</v>
      </c>
      <c r="J104" s="19">
        <v>2.4500000000000002</v>
      </c>
      <c r="K104" s="19">
        <v>2.48</v>
      </c>
      <c r="L104" s="2">
        <v>2.5299999999999998</v>
      </c>
      <c r="M104" s="2">
        <v>2.85</v>
      </c>
      <c r="N104" s="2">
        <v>3.18</v>
      </c>
      <c r="O104" s="2">
        <v>3.52</v>
      </c>
      <c r="P104" s="2">
        <v>3.71</v>
      </c>
      <c r="Q104" s="2">
        <v>3.15</v>
      </c>
      <c r="R104" s="6"/>
      <c r="AC104" s="164" t="s">
        <v>177</v>
      </c>
      <c r="AD104" s="164">
        <v>48</v>
      </c>
      <c r="AE104" s="165">
        <v>9</v>
      </c>
      <c r="AF104" s="165">
        <v>9</v>
      </c>
      <c r="AG104" s="165">
        <v>24</v>
      </c>
      <c r="AH104" s="164"/>
      <c r="AI104" s="164"/>
      <c r="AJ104" s="501"/>
      <c r="AK104" s="166">
        <f t="shared" ca="1" si="104"/>
        <v>43.898888888888884</v>
      </c>
      <c r="AL104" s="167">
        <f t="shared" ca="1" si="121"/>
        <v>9.7233333333333327</v>
      </c>
      <c r="AM104" s="167">
        <f t="shared" ca="1" si="122"/>
        <v>9.7233333333333327</v>
      </c>
      <c r="AN104" s="167">
        <f t="shared" ca="1" si="123"/>
        <v>24.452222222222218</v>
      </c>
      <c r="AO104" s="178"/>
      <c r="AP104" s="178"/>
      <c r="AQ104" s="169">
        <f t="shared" ca="1" si="107"/>
        <v>45.37844444444444</v>
      </c>
      <c r="AR104" s="170">
        <f ca="1">INDEX('Cap based on indoor unit SZ'!$J$6:$J$21,MATCH(AE104,'Cap based on indoor unit SZ'!$I$6:$I$21))</f>
        <v>10.463111111111111</v>
      </c>
      <c r="AS104" s="170">
        <f ca="1">INDEX('Cap based on indoor unit SZ'!$J$6:$J$21,MATCH(AF104,'Cap based on indoor unit SZ'!$I$6:$I$21))</f>
        <v>10.463111111111111</v>
      </c>
      <c r="AT104" s="170">
        <f ca="1">INDEX('Cap based on indoor unit SZ'!$J$6:$J$21,MATCH(AG104,'Cap based on indoor unit SZ'!$I$6:$I$21))</f>
        <v>24.452222222222218</v>
      </c>
      <c r="AU104" s="179"/>
      <c r="AV104" s="179"/>
      <c r="AW104" s="169">
        <f t="shared" si="108"/>
        <v>40.5</v>
      </c>
      <c r="AX104" s="170">
        <v>9</v>
      </c>
      <c r="AY104" s="170">
        <v>9</v>
      </c>
      <c r="AZ104" s="170">
        <v>22.5</v>
      </c>
      <c r="BA104" s="179"/>
      <c r="BB104" s="179"/>
      <c r="BC104" s="172">
        <f t="shared" ca="1" si="109"/>
        <v>45.37555555555555</v>
      </c>
      <c r="BD104" s="173">
        <f t="shared" ca="1" si="124"/>
        <v>9.7233333333333327</v>
      </c>
      <c r="BE104" s="173">
        <f t="shared" ca="1" si="124"/>
        <v>9.7233333333333327</v>
      </c>
      <c r="BF104" s="173">
        <f t="shared" ca="1" si="124"/>
        <v>25.928888888888885</v>
      </c>
      <c r="BG104" s="180"/>
      <c r="BH104" s="180"/>
      <c r="BI104" s="166">
        <f t="shared" ca="1" si="112"/>
        <v>53.449040293040298</v>
      </c>
      <c r="BJ104" s="167">
        <f t="shared" ca="1" si="125"/>
        <v>11.579520146520149</v>
      </c>
      <c r="BK104" s="167">
        <f t="shared" ca="1" si="126"/>
        <v>11.579520146520149</v>
      </c>
      <c r="BL104" s="167">
        <f t="shared" ca="1" si="127"/>
        <v>30.290000000000003</v>
      </c>
      <c r="BM104" s="178"/>
      <c r="BN104" s="178"/>
      <c r="BO104" s="169">
        <f t="shared" ca="1" si="115"/>
        <v>54.202041025641023</v>
      </c>
      <c r="BP104" s="170">
        <f ca="1">INDEX('Cap based on indoor unit SZ'!$V$43:$V$58,MATCH(AE104,'Cap based on indoor unit SZ'!$U$43:$U$58))</f>
        <v>11.956020512820512</v>
      </c>
      <c r="BQ104" s="170">
        <f ca="1">INDEX('Cap based on indoor unit SZ'!$V$43:$V$58,MATCH(AF104,'Cap based on indoor unit SZ'!$U$43:$U$58))</f>
        <v>11.956020512820512</v>
      </c>
      <c r="BR104" s="170">
        <f ca="1">INDEX('Cap based on indoor unit SZ'!$V$43:$V$58,MATCH(AG104,'Cap based on indoor unit SZ'!$U$43:$U$58))</f>
        <v>30.290000000000003</v>
      </c>
      <c r="BS104" s="179"/>
      <c r="BT104" s="179"/>
      <c r="BU104" s="175">
        <v>9500</v>
      </c>
      <c r="BV104" s="175">
        <v>9500</v>
      </c>
      <c r="BW104" s="175">
        <v>23500</v>
      </c>
      <c r="BX104" s="179"/>
      <c r="BY104" s="179"/>
      <c r="BZ104" s="172">
        <f t="shared" ca="1" si="116"/>
        <v>54.037760683760695</v>
      </c>
      <c r="CA104" s="173">
        <f t="shared" ca="1" si="128"/>
        <v>11.579520146520149</v>
      </c>
      <c r="CB104" s="173">
        <f t="shared" ca="1" si="129"/>
        <v>11.579520146520149</v>
      </c>
      <c r="CC104" s="173">
        <f t="shared" ca="1" si="130"/>
        <v>30.878720390720396</v>
      </c>
      <c r="CD104" s="180"/>
      <c r="CE104" s="180"/>
      <c r="CF104" s="166">
        <f t="shared" ca="1" si="119"/>
        <v>33.511310673126303</v>
      </c>
      <c r="CG104" s="167">
        <f t="shared" ca="1" si="120"/>
        <v>7.4225487787726419</v>
      </c>
      <c r="CH104" s="167">
        <f t="shared" ca="1" si="120"/>
        <v>7.4225487787726419</v>
      </c>
      <c r="CI104" s="167">
        <f t="shared" ca="1" si="120"/>
        <v>18.666213115581019</v>
      </c>
      <c r="CJ104" s="178"/>
      <c r="CK104" s="178"/>
    </row>
    <row r="105" spans="2:89">
      <c r="B105" s="284">
        <v>48</v>
      </c>
      <c r="C105" s="284">
        <v>80.599999999999994</v>
      </c>
      <c r="D105" s="284">
        <v>66.2</v>
      </c>
      <c r="E105" s="8" t="s">
        <v>17</v>
      </c>
      <c r="F105" s="8">
        <v>3.57</v>
      </c>
      <c r="G105" s="19">
        <v>3.64</v>
      </c>
      <c r="H105" s="19">
        <v>3.69</v>
      </c>
      <c r="I105" s="19">
        <v>3.75</v>
      </c>
      <c r="J105" s="19">
        <v>3.81</v>
      </c>
      <c r="K105" s="19">
        <v>3.86</v>
      </c>
      <c r="L105" s="2">
        <v>3.96</v>
      </c>
      <c r="M105" s="2">
        <v>4.4400000000000004</v>
      </c>
      <c r="N105" s="2">
        <v>4.9400000000000004</v>
      </c>
      <c r="O105" s="2">
        <v>3.9</v>
      </c>
      <c r="P105" s="2">
        <v>4.12</v>
      </c>
      <c r="Q105" s="2">
        <v>3.68</v>
      </c>
      <c r="R105" s="6"/>
      <c r="AC105" s="164" t="s">
        <v>176</v>
      </c>
      <c r="AD105" s="164">
        <v>48</v>
      </c>
      <c r="AE105" s="165">
        <v>9</v>
      </c>
      <c r="AF105" s="165">
        <v>12</v>
      </c>
      <c r="AG105" s="165">
        <v>12</v>
      </c>
      <c r="AH105" s="164"/>
      <c r="AI105" s="164"/>
      <c r="AJ105" s="501"/>
      <c r="AK105" s="166">
        <f t="shared" ca="1" si="104"/>
        <v>36.620888888888892</v>
      </c>
      <c r="AL105" s="167">
        <f t="shared" ca="1" si="121"/>
        <v>10.463111111111111</v>
      </c>
      <c r="AM105" s="167">
        <f t="shared" ca="1" si="122"/>
        <v>13.078888888888891</v>
      </c>
      <c r="AN105" s="167">
        <f t="shared" ca="1" si="123"/>
        <v>13.078888888888891</v>
      </c>
      <c r="AO105" s="178"/>
      <c r="AP105" s="178"/>
      <c r="AQ105" s="169">
        <f t="shared" ca="1" si="107"/>
        <v>36.620888888888892</v>
      </c>
      <c r="AR105" s="170">
        <f ca="1">INDEX('Cap based on indoor unit SZ'!$J$6:$J$21,MATCH(AE105,'Cap based on indoor unit SZ'!$I$6:$I$21))</f>
        <v>10.463111111111111</v>
      </c>
      <c r="AS105" s="170">
        <f ca="1">INDEX('Cap based on indoor unit SZ'!$J$6:$J$21,MATCH(AF105,'Cap based on indoor unit SZ'!$I$6:$I$21))</f>
        <v>13.078888888888891</v>
      </c>
      <c r="AT105" s="170">
        <f ca="1">INDEX('Cap based on indoor unit SZ'!$J$6:$J$21,MATCH(AG105,'Cap based on indoor unit SZ'!$I$6:$I$21))</f>
        <v>13.078888888888891</v>
      </c>
      <c r="AU105" s="179"/>
      <c r="AV105" s="179"/>
      <c r="AW105" s="169">
        <f t="shared" si="108"/>
        <v>34.5</v>
      </c>
      <c r="AX105" s="170">
        <v>9.5</v>
      </c>
      <c r="AY105" s="170">
        <v>12.5</v>
      </c>
      <c r="AZ105" s="170">
        <v>12.5</v>
      </c>
      <c r="BA105" s="179"/>
      <c r="BB105" s="179"/>
      <c r="BC105" s="172">
        <f t="shared" ca="1" si="109"/>
        <v>45.37555555555555</v>
      </c>
      <c r="BD105" s="173">
        <f t="shared" ca="1" si="124"/>
        <v>12.375151515151515</v>
      </c>
      <c r="BE105" s="173">
        <f t="shared" ca="1" si="124"/>
        <v>16.500202020202018</v>
      </c>
      <c r="BF105" s="173">
        <f t="shared" ca="1" si="124"/>
        <v>16.500202020202018</v>
      </c>
      <c r="BG105" s="180"/>
      <c r="BH105" s="180"/>
      <c r="BI105" s="166">
        <f t="shared" ca="1" si="112"/>
        <v>41.84607179487179</v>
      </c>
      <c r="BJ105" s="167">
        <f t="shared" ca="1" si="125"/>
        <v>11.956020512820512</v>
      </c>
      <c r="BK105" s="167">
        <f t="shared" ca="1" si="126"/>
        <v>14.945025641025641</v>
      </c>
      <c r="BL105" s="167">
        <f t="shared" ca="1" si="127"/>
        <v>14.945025641025641</v>
      </c>
      <c r="BM105" s="178"/>
      <c r="BN105" s="178"/>
      <c r="BO105" s="169">
        <f t="shared" ca="1" si="115"/>
        <v>41.84607179487179</v>
      </c>
      <c r="BP105" s="170">
        <f ca="1">INDEX('Cap based on indoor unit SZ'!$V$43:$V$58,MATCH(AE105,'Cap based on indoor unit SZ'!$U$43:$U$58))</f>
        <v>11.956020512820512</v>
      </c>
      <c r="BQ105" s="170">
        <f ca="1">INDEX('Cap based on indoor unit SZ'!$V$43:$V$58,MATCH(AF105,'Cap based on indoor unit SZ'!$U$43:$U$58))</f>
        <v>14.945025641025641</v>
      </c>
      <c r="BR105" s="170">
        <f ca="1">INDEX('Cap based on indoor unit SZ'!$V$43:$V$58,MATCH(AG105,'Cap based on indoor unit SZ'!$U$43:$U$58))</f>
        <v>14.945025641025641</v>
      </c>
      <c r="BS105" s="179"/>
      <c r="BT105" s="179"/>
      <c r="BU105" s="175">
        <v>10000</v>
      </c>
      <c r="BV105" s="175">
        <v>13000</v>
      </c>
      <c r="BW105" s="175">
        <v>13000</v>
      </c>
      <c r="BX105" s="179"/>
      <c r="BY105" s="179"/>
      <c r="BZ105" s="172">
        <f t="shared" ca="1" si="116"/>
        <v>54.037760683760695</v>
      </c>
      <c r="CA105" s="173">
        <f t="shared" ca="1" si="128"/>
        <v>14.737571095571099</v>
      </c>
      <c r="CB105" s="173">
        <f t="shared" ca="1" si="129"/>
        <v>19.650094794094798</v>
      </c>
      <c r="CC105" s="173">
        <f t="shared" ca="1" si="130"/>
        <v>19.650094794094798</v>
      </c>
      <c r="CD105" s="180"/>
      <c r="CE105" s="180"/>
      <c r="CF105" s="166">
        <f t="shared" ca="1" si="119"/>
        <v>27.955468025347024</v>
      </c>
      <c r="CG105" s="167">
        <f t="shared" ca="1" si="120"/>
        <v>7.9872765786705768</v>
      </c>
      <c r="CH105" s="167">
        <f t="shared" ca="1" si="120"/>
        <v>9.984095723338223</v>
      </c>
      <c r="CI105" s="167">
        <f t="shared" ca="1" si="120"/>
        <v>9.984095723338223</v>
      </c>
      <c r="CJ105" s="178"/>
      <c r="CK105" s="178"/>
    </row>
    <row r="106" spans="2:89">
      <c r="B106" s="284">
        <v>48</v>
      </c>
      <c r="C106" s="284">
        <v>89.6</v>
      </c>
      <c r="D106" s="284">
        <v>73.400000000000006</v>
      </c>
      <c r="E106" s="8" t="s">
        <v>17</v>
      </c>
      <c r="F106" s="8">
        <v>3.64</v>
      </c>
      <c r="G106" s="19">
        <v>3.71</v>
      </c>
      <c r="H106" s="19">
        <v>3.76</v>
      </c>
      <c r="I106" s="19">
        <v>3.82</v>
      </c>
      <c r="J106" s="19">
        <v>3.88</v>
      </c>
      <c r="K106" s="19">
        <v>3.93</v>
      </c>
      <c r="L106" s="2">
        <v>4.03</v>
      </c>
      <c r="M106" s="2">
        <v>4.51</v>
      </c>
      <c r="N106" s="2">
        <v>5.01</v>
      </c>
      <c r="O106" s="2">
        <v>3.97</v>
      </c>
      <c r="P106" s="2">
        <v>4.1900000000000004</v>
      </c>
      <c r="Q106" s="2">
        <v>3.75</v>
      </c>
      <c r="R106" s="6"/>
      <c r="AC106" s="164" t="s">
        <v>175</v>
      </c>
      <c r="AD106" s="164">
        <v>48</v>
      </c>
      <c r="AE106" s="165">
        <v>9</v>
      </c>
      <c r="AF106" s="165">
        <v>12</v>
      </c>
      <c r="AG106" s="165">
        <v>18</v>
      </c>
      <c r="AH106" s="164"/>
      <c r="AI106" s="164"/>
      <c r="AJ106" s="501"/>
      <c r="AK106" s="166">
        <f t="shared" ca="1" si="104"/>
        <v>43.36311111111111</v>
      </c>
      <c r="AL106" s="167">
        <f t="shared" ca="1" si="121"/>
        <v>10.463111111111111</v>
      </c>
      <c r="AM106" s="167">
        <f t="shared" ca="1" si="122"/>
        <v>13.078888888888891</v>
      </c>
      <c r="AN106" s="167">
        <f t="shared" ca="1" si="123"/>
        <v>19.821111111111112</v>
      </c>
      <c r="AO106" s="178"/>
      <c r="AP106" s="178"/>
      <c r="AQ106" s="169">
        <f t="shared" ca="1" si="107"/>
        <v>43.36311111111111</v>
      </c>
      <c r="AR106" s="170">
        <f ca="1">INDEX('Cap based on indoor unit SZ'!$J$6:$J$21,MATCH(AE106,'Cap based on indoor unit SZ'!$I$6:$I$21))</f>
        <v>10.463111111111111</v>
      </c>
      <c r="AS106" s="170">
        <f ca="1">INDEX('Cap based on indoor unit SZ'!$J$6:$J$21,MATCH(AF106,'Cap based on indoor unit SZ'!$I$6:$I$21))</f>
        <v>13.078888888888891</v>
      </c>
      <c r="AT106" s="170">
        <f ca="1">INDEX('Cap based on indoor unit SZ'!$J$6:$J$21,MATCH(AG106,'Cap based on indoor unit SZ'!$I$6:$I$21))</f>
        <v>19.821111111111112</v>
      </c>
      <c r="AU106" s="179"/>
      <c r="AV106" s="179"/>
      <c r="AW106" s="169">
        <f t="shared" si="108"/>
        <v>39</v>
      </c>
      <c r="AX106" s="170">
        <v>9</v>
      </c>
      <c r="AY106" s="170">
        <v>12</v>
      </c>
      <c r="AZ106" s="170">
        <v>18</v>
      </c>
      <c r="BA106" s="179"/>
      <c r="BB106" s="179"/>
      <c r="BC106" s="172">
        <f t="shared" ca="1" si="109"/>
        <v>45.37555555555555</v>
      </c>
      <c r="BD106" s="173">
        <f t="shared" ca="1" si="124"/>
        <v>10.471282051282051</v>
      </c>
      <c r="BE106" s="173">
        <f t="shared" ca="1" si="124"/>
        <v>13.961709401709401</v>
      </c>
      <c r="BF106" s="173">
        <f t="shared" ca="1" si="124"/>
        <v>20.942564102564102</v>
      </c>
      <c r="BG106" s="180"/>
      <c r="BH106" s="180"/>
      <c r="BI106" s="166">
        <f t="shared" ca="1" si="112"/>
        <v>51.499866666666662</v>
      </c>
      <c r="BJ106" s="167">
        <f t="shared" ca="1" si="125"/>
        <v>11.956020512820512</v>
      </c>
      <c r="BK106" s="167">
        <f t="shared" ca="1" si="126"/>
        <v>14.945025641025641</v>
      </c>
      <c r="BL106" s="167">
        <f t="shared" ca="1" si="127"/>
        <v>24.598820512820513</v>
      </c>
      <c r="BM106" s="178"/>
      <c r="BN106" s="178"/>
      <c r="BO106" s="169">
        <f t="shared" ca="1" si="115"/>
        <v>51.499866666666662</v>
      </c>
      <c r="BP106" s="170">
        <f ca="1">INDEX('Cap based on indoor unit SZ'!$V$43:$V$58,MATCH(AE106,'Cap based on indoor unit SZ'!$U$43:$U$58))</f>
        <v>11.956020512820512</v>
      </c>
      <c r="BQ106" s="170">
        <f ca="1">INDEX('Cap based on indoor unit SZ'!$V$43:$V$58,MATCH(AF106,'Cap based on indoor unit SZ'!$U$43:$U$58))</f>
        <v>14.945025641025641</v>
      </c>
      <c r="BR106" s="170">
        <f ca="1">INDEX('Cap based on indoor unit SZ'!$V$43:$V$58,MATCH(AG106,'Cap based on indoor unit SZ'!$U$43:$U$58))</f>
        <v>24.598820512820513</v>
      </c>
      <c r="BS106" s="179"/>
      <c r="BT106" s="179"/>
      <c r="BU106" s="175">
        <v>9500</v>
      </c>
      <c r="BV106" s="175">
        <v>12500</v>
      </c>
      <c r="BW106" s="175">
        <v>19000</v>
      </c>
      <c r="BX106" s="179"/>
      <c r="BY106" s="179"/>
      <c r="BZ106" s="172">
        <f t="shared" ca="1" si="116"/>
        <v>54.037760683760695</v>
      </c>
      <c r="CA106" s="173">
        <f t="shared" ca="1" si="128"/>
        <v>12.470252465483236</v>
      </c>
      <c r="CB106" s="173">
        <f t="shared" ca="1" si="129"/>
        <v>16.627003287310981</v>
      </c>
      <c r="CC106" s="173">
        <f t="shared" ca="1" si="130"/>
        <v>24.940504930966473</v>
      </c>
      <c r="CD106" s="180"/>
      <c r="CE106" s="180"/>
      <c r="CF106" s="166">
        <f t="shared" ca="1" si="119"/>
        <v>33.102311356348324</v>
      </c>
      <c r="CG106" s="167">
        <f t="shared" ca="1" si="120"/>
        <v>7.9872765786705768</v>
      </c>
      <c r="CH106" s="167">
        <f t="shared" ca="1" si="120"/>
        <v>9.984095723338223</v>
      </c>
      <c r="CI106" s="167">
        <f t="shared" ca="1" si="120"/>
        <v>15.130939054339523</v>
      </c>
      <c r="CJ106" s="178"/>
      <c r="CK106" s="178"/>
    </row>
    <row r="107" spans="2:89">
      <c r="B107" s="10" t="s">
        <v>18</v>
      </c>
      <c r="AC107" s="164" t="s">
        <v>174</v>
      </c>
      <c r="AD107" s="164">
        <v>48</v>
      </c>
      <c r="AE107" s="165">
        <v>9</v>
      </c>
      <c r="AF107" s="165">
        <v>12</v>
      </c>
      <c r="AG107" s="165">
        <v>24</v>
      </c>
      <c r="AH107" s="164"/>
      <c r="AI107" s="164"/>
      <c r="AJ107" s="501"/>
      <c r="AK107" s="166">
        <f t="shared" ca="1" si="104"/>
        <v>45.37555555555555</v>
      </c>
      <c r="AL107" s="167">
        <f t="shared" ca="1" si="121"/>
        <v>9.0751111111111094</v>
      </c>
      <c r="AM107" s="167">
        <f t="shared" ca="1" si="122"/>
        <v>12.100148148148145</v>
      </c>
      <c r="AN107" s="167">
        <f t="shared" ca="1" si="123"/>
        <v>24.20029629629629</v>
      </c>
      <c r="AO107" s="178"/>
      <c r="AP107" s="178"/>
      <c r="AQ107" s="169">
        <f t="shared" ca="1" si="107"/>
        <v>47.99422222222222</v>
      </c>
      <c r="AR107" s="170">
        <f ca="1">INDEX('Cap based on indoor unit SZ'!$J$6:$J$21,MATCH(AE107,'Cap based on indoor unit SZ'!$I$6:$I$21))</f>
        <v>10.463111111111111</v>
      </c>
      <c r="AS107" s="170">
        <f ca="1">INDEX('Cap based on indoor unit SZ'!$J$6:$J$21,MATCH(AF107,'Cap based on indoor unit SZ'!$I$6:$I$21))</f>
        <v>13.078888888888891</v>
      </c>
      <c r="AT107" s="170">
        <f ca="1">INDEX('Cap based on indoor unit SZ'!$J$6:$J$21,MATCH(AG107,'Cap based on indoor unit SZ'!$I$6:$I$21))</f>
        <v>24.452222222222218</v>
      </c>
      <c r="AU107" s="179"/>
      <c r="AV107" s="179"/>
      <c r="AW107" s="169">
        <f t="shared" si="108"/>
        <v>42.5</v>
      </c>
      <c r="AX107" s="170">
        <v>9</v>
      </c>
      <c r="AY107" s="170">
        <v>12</v>
      </c>
      <c r="AZ107" s="170">
        <v>21.5</v>
      </c>
      <c r="BA107" s="179"/>
      <c r="BB107" s="179"/>
      <c r="BC107" s="172">
        <f t="shared" ca="1" si="109"/>
        <v>45.37555555555555</v>
      </c>
      <c r="BD107" s="173">
        <f t="shared" ca="1" si="124"/>
        <v>9.0751111111111094</v>
      </c>
      <c r="BE107" s="173">
        <f t="shared" ca="1" si="124"/>
        <v>12.100148148148145</v>
      </c>
      <c r="BF107" s="173">
        <f t="shared" ca="1" si="124"/>
        <v>24.20029629629629</v>
      </c>
      <c r="BG107" s="180"/>
      <c r="BH107" s="180"/>
      <c r="BI107" s="166">
        <f t="shared" ca="1" si="112"/>
        <v>54.037760683760688</v>
      </c>
      <c r="BJ107" s="167">
        <f t="shared" ca="1" si="125"/>
        <v>10.807552136752138</v>
      </c>
      <c r="BK107" s="167">
        <f t="shared" ca="1" si="126"/>
        <v>14.410069515669516</v>
      </c>
      <c r="BL107" s="167">
        <f t="shared" ca="1" si="127"/>
        <v>28.820139031339032</v>
      </c>
      <c r="BM107" s="178"/>
      <c r="BN107" s="178"/>
      <c r="BO107" s="169">
        <f t="shared" ca="1" si="115"/>
        <v>57.191046153846159</v>
      </c>
      <c r="BP107" s="170">
        <f ca="1">INDEX('Cap based on indoor unit SZ'!$V$43:$V$58,MATCH(AE107,'Cap based on indoor unit SZ'!$U$43:$U$58))</f>
        <v>11.956020512820512</v>
      </c>
      <c r="BQ107" s="170">
        <f ca="1">INDEX('Cap based on indoor unit SZ'!$V$43:$V$58,MATCH(AF107,'Cap based on indoor unit SZ'!$U$43:$U$58))</f>
        <v>14.945025641025641</v>
      </c>
      <c r="BR107" s="170">
        <f ca="1">INDEX('Cap based on indoor unit SZ'!$V$43:$V$58,MATCH(AG107,'Cap based on indoor unit SZ'!$U$43:$U$58))</f>
        <v>30.290000000000003</v>
      </c>
      <c r="BS107" s="179"/>
      <c r="BT107" s="179"/>
      <c r="BU107" s="175">
        <v>9500</v>
      </c>
      <c r="BV107" s="175">
        <v>12500</v>
      </c>
      <c r="BW107" s="175">
        <v>22000</v>
      </c>
      <c r="BX107" s="179"/>
      <c r="BY107" s="179"/>
      <c r="BZ107" s="172">
        <f t="shared" ca="1" si="116"/>
        <v>54.037760683760688</v>
      </c>
      <c r="CA107" s="173">
        <f t="shared" ca="1" si="128"/>
        <v>10.807552136752138</v>
      </c>
      <c r="CB107" s="173">
        <f t="shared" ca="1" si="129"/>
        <v>14.410069515669516</v>
      </c>
      <c r="CC107" s="173">
        <f t="shared" ca="1" si="130"/>
        <v>28.820139031339032</v>
      </c>
      <c r="CD107" s="180"/>
      <c r="CE107" s="180"/>
      <c r="CF107" s="166">
        <f t="shared" ca="1" si="119"/>
        <v>34.638560967605656</v>
      </c>
      <c r="CG107" s="167">
        <f t="shared" ca="1" si="120"/>
        <v>6.9277121935211312</v>
      </c>
      <c r="CH107" s="167">
        <f t="shared" ca="1" si="120"/>
        <v>9.2369495913615083</v>
      </c>
      <c r="CI107" s="167">
        <f t="shared" ca="1" si="120"/>
        <v>18.473899182723017</v>
      </c>
      <c r="CJ107" s="178"/>
      <c r="CK107" s="178"/>
    </row>
    <row r="108" spans="2:89">
      <c r="B108" s="10" t="s">
        <v>19</v>
      </c>
      <c r="AC108" s="164" t="s">
        <v>173</v>
      </c>
      <c r="AD108" s="164">
        <v>48</v>
      </c>
      <c r="AE108" s="165">
        <v>9</v>
      </c>
      <c r="AF108" s="165">
        <v>18</v>
      </c>
      <c r="AG108" s="165">
        <v>18</v>
      </c>
      <c r="AH108" s="164"/>
      <c r="AI108" s="164"/>
      <c r="AJ108" s="501"/>
      <c r="AK108" s="166">
        <f t="shared" ca="1" si="104"/>
        <v>45.37555555555555</v>
      </c>
      <c r="AL108" s="167">
        <f t="shared" ca="1" si="121"/>
        <v>9.0751111111111094</v>
      </c>
      <c r="AM108" s="167">
        <f t="shared" ca="1" si="122"/>
        <v>18.150222222222219</v>
      </c>
      <c r="AN108" s="167">
        <f t="shared" ca="1" si="123"/>
        <v>18.150222222222219</v>
      </c>
      <c r="AO108" s="178"/>
      <c r="AP108" s="178"/>
      <c r="AQ108" s="169">
        <f t="shared" ca="1" si="107"/>
        <v>50.105333333333334</v>
      </c>
      <c r="AR108" s="170">
        <f ca="1">INDEX('Cap based on indoor unit SZ'!$J$6:$J$21,MATCH(AE108,'Cap based on indoor unit SZ'!$I$6:$I$21))</f>
        <v>10.463111111111111</v>
      </c>
      <c r="AS108" s="170">
        <f ca="1">INDEX('Cap based on indoor unit SZ'!$J$6:$J$21,MATCH(AF108,'Cap based on indoor unit SZ'!$I$6:$I$21))</f>
        <v>19.821111111111112</v>
      </c>
      <c r="AT108" s="170">
        <f ca="1">INDEX('Cap based on indoor unit SZ'!$J$6:$J$21,MATCH(AG108,'Cap based on indoor unit SZ'!$I$6:$I$21))</f>
        <v>19.821111111111112</v>
      </c>
      <c r="AU108" s="179"/>
      <c r="AV108" s="179"/>
      <c r="AW108" s="169">
        <f t="shared" si="108"/>
        <v>45</v>
      </c>
      <c r="AX108" s="170">
        <v>9</v>
      </c>
      <c r="AY108" s="170">
        <v>18</v>
      </c>
      <c r="AZ108" s="170">
        <v>18</v>
      </c>
      <c r="BA108" s="179"/>
      <c r="BB108" s="179"/>
      <c r="BC108" s="172">
        <f t="shared" ca="1" si="109"/>
        <v>45.37555555555555</v>
      </c>
      <c r="BD108" s="173">
        <f t="shared" ca="1" si="124"/>
        <v>9.0751111111111094</v>
      </c>
      <c r="BE108" s="173">
        <f t="shared" ca="1" si="124"/>
        <v>18.150222222222219</v>
      </c>
      <c r="BF108" s="173">
        <f t="shared" ca="1" si="124"/>
        <v>18.150222222222219</v>
      </c>
      <c r="BG108" s="180"/>
      <c r="BH108" s="180"/>
      <c r="BI108" s="166">
        <f t="shared" ca="1" si="112"/>
        <v>54.037760683760695</v>
      </c>
      <c r="BJ108" s="167">
        <f t="shared" ca="1" si="125"/>
        <v>10.807552136752138</v>
      </c>
      <c r="BK108" s="167">
        <f t="shared" ca="1" si="126"/>
        <v>21.615104273504276</v>
      </c>
      <c r="BL108" s="167">
        <f t="shared" ca="1" si="127"/>
        <v>21.615104273504276</v>
      </c>
      <c r="BM108" s="178"/>
      <c r="BN108" s="178"/>
      <c r="BO108" s="169">
        <f t="shared" ca="1" si="115"/>
        <v>61.153661538461535</v>
      </c>
      <c r="BP108" s="170">
        <f ca="1">INDEX('Cap based on indoor unit SZ'!$V$43:$V$58,MATCH(AE108,'Cap based on indoor unit SZ'!$U$43:$U$58))</f>
        <v>11.956020512820512</v>
      </c>
      <c r="BQ108" s="170">
        <f ca="1">INDEX('Cap based on indoor unit SZ'!$V$43:$V$58,MATCH(AF108,'Cap based on indoor unit SZ'!$U$43:$U$58))</f>
        <v>24.598820512820513</v>
      </c>
      <c r="BR108" s="170">
        <f ca="1">INDEX('Cap based on indoor unit SZ'!$V$43:$V$58,MATCH(AG108,'Cap based on indoor unit SZ'!$U$43:$U$58))</f>
        <v>24.598820512820513</v>
      </c>
      <c r="BS108" s="179"/>
      <c r="BT108" s="179"/>
      <c r="BU108" s="175">
        <v>9500</v>
      </c>
      <c r="BV108" s="175">
        <v>18500</v>
      </c>
      <c r="BW108" s="175">
        <v>18500</v>
      </c>
      <c r="BX108" s="179"/>
      <c r="BY108" s="179"/>
      <c r="BZ108" s="172">
        <f t="shared" ca="1" si="116"/>
        <v>54.037760683760695</v>
      </c>
      <c r="CA108" s="173">
        <f t="shared" ca="1" si="128"/>
        <v>10.807552136752138</v>
      </c>
      <c r="CB108" s="173">
        <f t="shared" ca="1" si="129"/>
        <v>21.615104273504276</v>
      </c>
      <c r="CC108" s="173">
        <f t="shared" ca="1" si="130"/>
        <v>21.615104273504276</v>
      </c>
      <c r="CD108" s="180"/>
      <c r="CE108" s="180"/>
      <c r="CF108" s="166">
        <f t="shared" ca="1" si="119"/>
        <v>34.638560967605656</v>
      </c>
      <c r="CG108" s="167">
        <f t="shared" ca="1" si="120"/>
        <v>6.9277121935211312</v>
      </c>
      <c r="CH108" s="167">
        <f t="shared" ca="1" si="120"/>
        <v>13.855424387042262</v>
      </c>
      <c r="CI108" s="167">
        <f t="shared" ca="1" si="120"/>
        <v>13.855424387042262</v>
      </c>
      <c r="CJ108" s="178"/>
      <c r="CK108" s="178"/>
    </row>
    <row r="109" spans="2:89">
      <c r="B109" s="10" t="s">
        <v>20</v>
      </c>
      <c r="AC109" s="164" t="s">
        <v>172</v>
      </c>
      <c r="AD109" s="164">
        <v>48</v>
      </c>
      <c r="AE109" s="165">
        <v>9</v>
      </c>
      <c r="AF109" s="165">
        <v>18</v>
      </c>
      <c r="AG109" s="165">
        <v>24</v>
      </c>
      <c r="AH109" s="164"/>
      <c r="AI109" s="164"/>
      <c r="AJ109" s="501"/>
      <c r="AK109" s="166">
        <f t="shared" ca="1" si="104"/>
        <v>45.375555555555557</v>
      </c>
      <c r="AL109" s="167">
        <f t="shared" ca="1" si="121"/>
        <v>8.0074509803921572</v>
      </c>
      <c r="AM109" s="167">
        <f t="shared" ca="1" si="122"/>
        <v>16.014901960784314</v>
      </c>
      <c r="AN109" s="167">
        <f t="shared" ca="1" si="123"/>
        <v>21.353202614379086</v>
      </c>
      <c r="AO109" s="178"/>
      <c r="AP109" s="178"/>
      <c r="AQ109" s="169">
        <f t="shared" ca="1" si="107"/>
        <v>54.736444444444444</v>
      </c>
      <c r="AR109" s="170">
        <f ca="1">INDEX('Cap based on indoor unit SZ'!$J$6:$J$21,MATCH(AE109,'Cap based on indoor unit SZ'!$I$6:$I$21))</f>
        <v>10.463111111111111</v>
      </c>
      <c r="AS109" s="170">
        <f ca="1">INDEX('Cap based on indoor unit SZ'!$J$6:$J$21,MATCH(AF109,'Cap based on indoor unit SZ'!$I$6:$I$21))</f>
        <v>19.821111111111112</v>
      </c>
      <c r="AT109" s="170">
        <f ca="1">INDEX('Cap based on indoor unit SZ'!$J$6:$J$21,MATCH(AG109,'Cap based on indoor unit SZ'!$I$6:$I$21))</f>
        <v>24.452222222222218</v>
      </c>
      <c r="AU109" s="179"/>
      <c r="AV109" s="179"/>
      <c r="AW109" s="169">
        <f t="shared" si="108"/>
        <v>46</v>
      </c>
      <c r="AX109" s="170">
        <v>8.5</v>
      </c>
      <c r="AY109" s="170">
        <v>16</v>
      </c>
      <c r="AZ109" s="170">
        <v>21.5</v>
      </c>
      <c r="BA109" s="179"/>
      <c r="BB109" s="179"/>
      <c r="BC109" s="172">
        <f t="shared" ca="1" si="109"/>
        <v>45.375555555555557</v>
      </c>
      <c r="BD109" s="173">
        <f t="shared" ca="1" si="124"/>
        <v>8.0074509803921572</v>
      </c>
      <c r="BE109" s="173">
        <f t="shared" ca="1" si="124"/>
        <v>16.014901960784314</v>
      </c>
      <c r="BF109" s="173">
        <f t="shared" ca="1" si="124"/>
        <v>21.353202614379086</v>
      </c>
      <c r="BG109" s="180"/>
      <c r="BH109" s="180"/>
      <c r="BI109" s="166">
        <f t="shared" ca="1" si="112"/>
        <v>54.037760683760695</v>
      </c>
      <c r="BJ109" s="167">
        <f t="shared" ca="1" si="125"/>
        <v>9.5360754147812994</v>
      </c>
      <c r="BK109" s="167">
        <f t="shared" ca="1" si="126"/>
        <v>19.072150829562599</v>
      </c>
      <c r="BL109" s="167">
        <f t="shared" ca="1" si="127"/>
        <v>25.429534439416798</v>
      </c>
      <c r="BM109" s="178"/>
      <c r="BN109" s="178"/>
      <c r="BO109" s="169">
        <f t="shared" ca="1" si="115"/>
        <v>66.844841025641031</v>
      </c>
      <c r="BP109" s="170">
        <f ca="1">INDEX('Cap based on indoor unit SZ'!$V$43:$V$58,MATCH(AE109,'Cap based on indoor unit SZ'!$U$43:$U$58))</f>
        <v>11.956020512820512</v>
      </c>
      <c r="BQ109" s="170">
        <f ca="1">INDEX('Cap based on indoor unit SZ'!$V$43:$V$58,MATCH(AF109,'Cap based on indoor unit SZ'!$U$43:$U$58))</f>
        <v>24.598820512820513</v>
      </c>
      <c r="BR109" s="170">
        <f ca="1">INDEX('Cap based on indoor unit SZ'!$V$43:$V$58,MATCH(AG109,'Cap based on indoor unit SZ'!$U$43:$U$58))</f>
        <v>30.290000000000003</v>
      </c>
      <c r="BS109" s="179"/>
      <c r="BT109" s="179"/>
      <c r="BU109" s="175">
        <v>9500</v>
      </c>
      <c r="BV109" s="175">
        <v>16500</v>
      </c>
      <c r="BW109" s="175">
        <v>22000</v>
      </c>
      <c r="BX109" s="179"/>
      <c r="BY109" s="179"/>
      <c r="BZ109" s="172">
        <f t="shared" ca="1" si="116"/>
        <v>54.037760683760695</v>
      </c>
      <c r="CA109" s="173">
        <f t="shared" ca="1" si="128"/>
        <v>9.5360754147812994</v>
      </c>
      <c r="CB109" s="173">
        <f t="shared" ca="1" si="129"/>
        <v>19.072150829562599</v>
      </c>
      <c r="CC109" s="173">
        <f t="shared" ca="1" si="130"/>
        <v>25.429534439416798</v>
      </c>
      <c r="CD109" s="180"/>
      <c r="CE109" s="180"/>
      <c r="CF109" s="166">
        <f t="shared" ca="1" si="119"/>
        <v>34.638560967605663</v>
      </c>
      <c r="CG109" s="167">
        <f t="shared" ca="1" si="120"/>
        <v>6.1126872295774701</v>
      </c>
      <c r="CH109" s="167">
        <f t="shared" ca="1" si="120"/>
        <v>12.22537445915494</v>
      </c>
      <c r="CI109" s="167">
        <f t="shared" ca="1" si="120"/>
        <v>16.300499278873254</v>
      </c>
      <c r="CJ109" s="178"/>
      <c r="CK109" s="178"/>
    </row>
    <row r="110" spans="2:89">
      <c r="B110" s="10" t="s">
        <v>21</v>
      </c>
      <c r="AC110" s="164" t="s">
        <v>171</v>
      </c>
      <c r="AD110" s="164">
        <v>48</v>
      </c>
      <c r="AE110" s="165">
        <v>9</v>
      </c>
      <c r="AF110" s="165">
        <v>24</v>
      </c>
      <c r="AG110" s="165">
        <v>24</v>
      </c>
      <c r="AH110" s="164"/>
      <c r="AI110" s="164"/>
      <c r="AJ110" s="501"/>
      <c r="AK110" s="166">
        <f t="shared" ca="1" si="104"/>
        <v>45.37555555555555</v>
      </c>
      <c r="AL110" s="167">
        <f t="shared" ca="1" si="121"/>
        <v>7.1645614035087712</v>
      </c>
      <c r="AM110" s="167">
        <f t="shared" ca="1" si="122"/>
        <v>19.10549707602339</v>
      </c>
      <c r="AN110" s="167">
        <f t="shared" ca="1" si="123"/>
        <v>19.10549707602339</v>
      </c>
      <c r="AO110" s="178"/>
      <c r="AP110" s="178"/>
      <c r="AQ110" s="169">
        <f t="shared" ca="1" si="107"/>
        <v>59.367555555555548</v>
      </c>
      <c r="AR110" s="170">
        <f ca="1">INDEX('Cap based on indoor unit SZ'!$J$6:$J$21,MATCH(AE110,'Cap based on indoor unit SZ'!$I$6:$I$21))</f>
        <v>10.463111111111111</v>
      </c>
      <c r="AS110" s="170">
        <f ca="1">INDEX('Cap based on indoor unit SZ'!$J$6:$J$21,MATCH(AF110,'Cap based on indoor unit SZ'!$I$6:$I$21))</f>
        <v>24.452222222222218</v>
      </c>
      <c r="AT110" s="170">
        <f ca="1">INDEX('Cap based on indoor unit SZ'!$J$6:$J$21,MATCH(AG110,'Cap based on indoor unit SZ'!$I$6:$I$21))</f>
        <v>24.452222222222218</v>
      </c>
      <c r="AU110" s="179"/>
      <c r="AV110" s="179"/>
      <c r="AW110" s="169">
        <f t="shared" si="108"/>
        <v>48</v>
      </c>
      <c r="AX110" s="170">
        <v>8</v>
      </c>
      <c r="AY110" s="170">
        <v>20</v>
      </c>
      <c r="AZ110" s="170">
        <v>20</v>
      </c>
      <c r="BA110" s="179"/>
      <c r="BB110" s="179"/>
      <c r="BC110" s="172">
        <f t="shared" ca="1" si="109"/>
        <v>45.37555555555555</v>
      </c>
      <c r="BD110" s="173">
        <f t="shared" ca="1" si="124"/>
        <v>7.1645614035087712</v>
      </c>
      <c r="BE110" s="173">
        <f t="shared" ca="1" si="124"/>
        <v>19.10549707602339</v>
      </c>
      <c r="BF110" s="173">
        <f t="shared" ca="1" si="124"/>
        <v>19.10549707602339</v>
      </c>
      <c r="BG110" s="180"/>
      <c r="BH110" s="180"/>
      <c r="BI110" s="166">
        <f t="shared" ca="1" si="112"/>
        <v>54.037760683760695</v>
      </c>
      <c r="BJ110" s="167">
        <f t="shared" ca="1" si="125"/>
        <v>8.5322780026990568</v>
      </c>
      <c r="BK110" s="167">
        <f t="shared" ca="1" si="126"/>
        <v>22.752741340530818</v>
      </c>
      <c r="BL110" s="167">
        <f t="shared" ca="1" si="127"/>
        <v>22.752741340530818</v>
      </c>
      <c r="BM110" s="178"/>
      <c r="BN110" s="178"/>
      <c r="BO110" s="169">
        <f t="shared" ca="1" si="115"/>
        <v>72.536020512820514</v>
      </c>
      <c r="BP110" s="170">
        <f ca="1">INDEX('Cap based on indoor unit SZ'!$V$43:$V$58,MATCH(AE110,'Cap based on indoor unit SZ'!$U$43:$U$58))</f>
        <v>11.956020512820512</v>
      </c>
      <c r="BQ110" s="170">
        <f ca="1">INDEX('Cap based on indoor unit SZ'!$V$43:$V$58,MATCH(AF110,'Cap based on indoor unit SZ'!$U$43:$U$58))</f>
        <v>30.290000000000003</v>
      </c>
      <c r="BR110" s="170">
        <f ca="1">INDEX('Cap based on indoor unit SZ'!$V$43:$V$58,MATCH(AG110,'Cap based on indoor unit SZ'!$U$43:$U$58))</f>
        <v>30.290000000000003</v>
      </c>
      <c r="BS110" s="179"/>
      <c r="BT110" s="179"/>
      <c r="BU110" s="175">
        <v>8500</v>
      </c>
      <c r="BV110" s="175">
        <v>21000</v>
      </c>
      <c r="BW110" s="175">
        <v>21000</v>
      </c>
      <c r="BX110" s="179"/>
      <c r="BY110" s="179"/>
      <c r="BZ110" s="172">
        <f t="shared" ca="1" si="116"/>
        <v>54.037760683760695</v>
      </c>
      <c r="CA110" s="173">
        <f t="shared" ca="1" si="128"/>
        <v>8.5322780026990568</v>
      </c>
      <c r="CB110" s="173">
        <f t="shared" ca="1" si="129"/>
        <v>22.752741340530818</v>
      </c>
      <c r="CC110" s="173">
        <f t="shared" ca="1" si="130"/>
        <v>22.752741340530818</v>
      </c>
      <c r="CD110" s="180"/>
      <c r="CE110" s="180"/>
      <c r="CF110" s="166">
        <f t="shared" ca="1" si="119"/>
        <v>34.638560967605663</v>
      </c>
      <c r="CG110" s="167">
        <f t="shared" ca="1" si="120"/>
        <v>5.469246468569315</v>
      </c>
      <c r="CH110" s="167">
        <f t="shared" ca="1" si="120"/>
        <v>14.584657249518173</v>
      </c>
      <c r="CI110" s="167">
        <f t="shared" ca="1" si="120"/>
        <v>14.584657249518173</v>
      </c>
      <c r="CJ110" s="178"/>
      <c r="CK110" s="178"/>
    </row>
    <row r="111" spans="2:89">
      <c r="B111" s="10" t="s">
        <v>22</v>
      </c>
      <c r="AC111" s="164" t="s">
        <v>170</v>
      </c>
      <c r="AD111" s="164">
        <v>48</v>
      </c>
      <c r="AE111" s="165">
        <v>12</v>
      </c>
      <c r="AF111" s="165">
        <v>12</v>
      </c>
      <c r="AG111" s="165">
        <v>12</v>
      </c>
      <c r="AH111" s="164"/>
      <c r="AI111" s="164"/>
      <c r="AJ111" s="501"/>
      <c r="AK111" s="166">
        <f t="shared" ca="1" si="104"/>
        <v>39.236666666666672</v>
      </c>
      <c r="AL111" s="167">
        <f t="shared" ca="1" si="121"/>
        <v>13.078888888888891</v>
      </c>
      <c r="AM111" s="167">
        <f t="shared" ca="1" si="122"/>
        <v>13.078888888888891</v>
      </c>
      <c r="AN111" s="167">
        <f t="shared" ca="1" si="123"/>
        <v>13.078888888888891</v>
      </c>
      <c r="AO111" s="178"/>
      <c r="AP111" s="178"/>
      <c r="AQ111" s="169">
        <f t="shared" ca="1" si="107"/>
        <v>39.236666666666672</v>
      </c>
      <c r="AR111" s="170">
        <f ca="1">INDEX('Cap based on indoor unit SZ'!$J$6:$J$21,MATCH(AE111,'Cap based on indoor unit SZ'!$I$6:$I$21))</f>
        <v>13.078888888888891</v>
      </c>
      <c r="AS111" s="170">
        <f ca="1">INDEX('Cap based on indoor unit SZ'!$J$6:$J$21,MATCH(AF111,'Cap based on indoor unit SZ'!$I$6:$I$21))</f>
        <v>13.078888888888891</v>
      </c>
      <c r="AT111" s="170">
        <f ca="1">INDEX('Cap based on indoor unit SZ'!$J$6:$J$21,MATCH(AG111,'Cap based on indoor unit SZ'!$I$6:$I$21))</f>
        <v>13.078888888888891</v>
      </c>
      <c r="AU111" s="179"/>
      <c r="AV111" s="179"/>
      <c r="AW111" s="169">
        <f t="shared" si="108"/>
        <v>36</v>
      </c>
      <c r="AX111" s="170">
        <v>12</v>
      </c>
      <c r="AY111" s="170">
        <v>12</v>
      </c>
      <c r="AZ111" s="170">
        <v>12</v>
      </c>
      <c r="BA111" s="179"/>
      <c r="BB111" s="179"/>
      <c r="BC111" s="172">
        <f t="shared" ca="1" si="109"/>
        <v>45.37555555555555</v>
      </c>
      <c r="BD111" s="173">
        <f t="shared" ca="1" si="124"/>
        <v>15.125185185185183</v>
      </c>
      <c r="BE111" s="173">
        <f t="shared" ca="1" si="124"/>
        <v>15.125185185185183</v>
      </c>
      <c r="BF111" s="173">
        <f t="shared" ca="1" si="124"/>
        <v>15.125185185185183</v>
      </c>
      <c r="BG111" s="180"/>
      <c r="BH111" s="180"/>
      <c r="BI111" s="166">
        <f t="shared" ca="1" si="112"/>
        <v>44.835076923076926</v>
      </c>
      <c r="BJ111" s="167">
        <f t="shared" ca="1" si="125"/>
        <v>14.945025641025641</v>
      </c>
      <c r="BK111" s="167">
        <f t="shared" ca="1" si="126"/>
        <v>14.945025641025641</v>
      </c>
      <c r="BL111" s="167">
        <f t="shared" ca="1" si="127"/>
        <v>14.945025641025641</v>
      </c>
      <c r="BM111" s="178"/>
      <c r="BN111" s="178"/>
      <c r="BO111" s="169">
        <f t="shared" ca="1" si="115"/>
        <v>44.835076923076926</v>
      </c>
      <c r="BP111" s="170">
        <f ca="1">INDEX('Cap based on indoor unit SZ'!$V$43:$V$58,MATCH(AE111,'Cap based on indoor unit SZ'!$U$43:$U$58))</f>
        <v>14.945025641025641</v>
      </c>
      <c r="BQ111" s="170">
        <f ca="1">INDEX('Cap based on indoor unit SZ'!$V$43:$V$58,MATCH(AF111,'Cap based on indoor unit SZ'!$U$43:$U$58))</f>
        <v>14.945025641025641</v>
      </c>
      <c r="BR111" s="170">
        <f ca="1">INDEX('Cap based on indoor unit SZ'!$V$43:$V$58,MATCH(AG111,'Cap based on indoor unit SZ'!$U$43:$U$58))</f>
        <v>14.945025641025641</v>
      </c>
      <c r="BS111" s="179"/>
      <c r="BT111" s="179"/>
      <c r="BU111" s="175">
        <v>13000</v>
      </c>
      <c r="BV111" s="175">
        <v>13000</v>
      </c>
      <c r="BW111" s="175">
        <v>13000</v>
      </c>
      <c r="BX111" s="179"/>
      <c r="BY111" s="179"/>
      <c r="BZ111" s="172">
        <f t="shared" ca="1" si="116"/>
        <v>54.037760683760688</v>
      </c>
      <c r="CA111" s="173">
        <f t="shared" ca="1" si="128"/>
        <v>18.012586894586896</v>
      </c>
      <c r="CB111" s="173">
        <f t="shared" ca="1" si="129"/>
        <v>18.012586894586896</v>
      </c>
      <c r="CC111" s="173">
        <f t="shared" ca="1" si="130"/>
        <v>18.012586894586896</v>
      </c>
      <c r="CD111" s="180"/>
      <c r="CE111" s="180"/>
      <c r="CF111" s="166">
        <f t="shared" ca="1" si="119"/>
        <v>29.952287170014671</v>
      </c>
      <c r="CG111" s="167">
        <f t="shared" ca="1" si="120"/>
        <v>9.984095723338223</v>
      </c>
      <c r="CH111" s="167">
        <f t="shared" ca="1" si="120"/>
        <v>9.984095723338223</v>
      </c>
      <c r="CI111" s="167">
        <f t="shared" ca="1" si="120"/>
        <v>9.984095723338223</v>
      </c>
      <c r="CJ111" s="178"/>
      <c r="CK111" s="178"/>
    </row>
    <row r="112" spans="2:89">
      <c r="B112" s="10" t="s">
        <v>23</v>
      </c>
      <c r="AC112" s="164" t="s">
        <v>169</v>
      </c>
      <c r="AD112" s="164">
        <v>48</v>
      </c>
      <c r="AE112" s="165">
        <v>12</v>
      </c>
      <c r="AF112" s="165">
        <v>12</v>
      </c>
      <c r="AG112" s="165">
        <v>18</v>
      </c>
      <c r="AH112" s="164"/>
      <c r="AI112" s="164"/>
      <c r="AJ112" s="501"/>
      <c r="AK112" s="166">
        <f t="shared" ca="1" si="104"/>
        <v>45.37555555555555</v>
      </c>
      <c r="AL112" s="167">
        <f t="shared" ca="1" si="121"/>
        <v>12.964444444444442</v>
      </c>
      <c r="AM112" s="167">
        <f t="shared" ca="1" si="122"/>
        <v>12.964444444444442</v>
      </c>
      <c r="AN112" s="167">
        <f t="shared" ca="1" si="123"/>
        <v>19.446666666666665</v>
      </c>
      <c r="AO112" s="178"/>
      <c r="AP112" s="178"/>
      <c r="AQ112" s="169">
        <f t="shared" ca="1" si="107"/>
        <v>45.978888888888889</v>
      </c>
      <c r="AR112" s="170">
        <f ca="1">INDEX('Cap based on indoor unit SZ'!$J$6:$J$21,MATCH(AE112,'Cap based on indoor unit SZ'!$I$6:$I$21))</f>
        <v>13.078888888888891</v>
      </c>
      <c r="AS112" s="170">
        <f ca="1">INDEX('Cap based on indoor unit SZ'!$J$6:$J$21,MATCH(AF112,'Cap based on indoor unit SZ'!$I$6:$I$21))</f>
        <v>13.078888888888891</v>
      </c>
      <c r="AT112" s="170">
        <f ca="1">INDEX('Cap based on indoor unit SZ'!$J$6:$J$21,MATCH(AG112,'Cap based on indoor unit SZ'!$I$6:$I$21))</f>
        <v>19.821111111111112</v>
      </c>
      <c r="AU112" s="179"/>
      <c r="AV112" s="179"/>
      <c r="AW112" s="169">
        <f t="shared" si="108"/>
        <v>41</v>
      </c>
      <c r="AX112" s="170">
        <v>12</v>
      </c>
      <c r="AY112" s="170">
        <v>12</v>
      </c>
      <c r="AZ112" s="170">
        <v>17</v>
      </c>
      <c r="BA112" s="179"/>
      <c r="BB112" s="179"/>
      <c r="BC112" s="172">
        <f t="shared" ca="1" si="109"/>
        <v>45.37555555555555</v>
      </c>
      <c r="BD112" s="173">
        <f t="shared" ca="1" si="124"/>
        <v>12.964444444444442</v>
      </c>
      <c r="BE112" s="173">
        <f t="shared" ca="1" si="124"/>
        <v>12.964444444444442</v>
      </c>
      <c r="BF112" s="173">
        <f t="shared" ca="1" si="124"/>
        <v>19.446666666666665</v>
      </c>
      <c r="BG112" s="180"/>
      <c r="BH112" s="180"/>
      <c r="BI112" s="166">
        <f t="shared" ca="1" si="112"/>
        <v>53.04909157509158</v>
      </c>
      <c r="BJ112" s="167">
        <f t="shared" ca="1" si="125"/>
        <v>14.945025641025641</v>
      </c>
      <c r="BK112" s="167">
        <f t="shared" ca="1" si="126"/>
        <v>14.945025641025641</v>
      </c>
      <c r="BL112" s="167">
        <f t="shared" ca="1" si="127"/>
        <v>23.159040293040299</v>
      </c>
      <c r="BM112" s="178"/>
      <c r="BN112" s="178"/>
      <c r="BO112" s="169">
        <f t="shared" ca="1" si="115"/>
        <v>54.488871794871798</v>
      </c>
      <c r="BP112" s="170">
        <f ca="1">INDEX('Cap based on indoor unit SZ'!$V$43:$V$58,MATCH(AE112,'Cap based on indoor unit SZ'!$U$43:$U$58))</f>
        <v>14.945025641025641</v>
      </c>
      <c r="BQ112" s="170">
        <f ca="1">INDEX('Cap based on indoor unit SZ'!$V$43:$V$58,MATCH(AF112,'Cap based on indoor unit SZ'!$U$43:$U$58))</f>
        <v>14.945025641025641</v>
      </c>
      <c r="BR112" s="170">
        <f ca="1">INDEX('Cap based on indoor unit SZ'!$V$43:$V$58,MATCH(AG112,'Cap based on indoor unit SZ'!$U$43:$U$58))</f>
        <v>24.598820512820513</v>
      </c>
      <c r="BS112" s="179"/>
      <c r="BT112" s="179"/>
      <c r="BU112" s="175">
        <v>12500</v>
      </c>
      <c r="BV112" s="175">
        <v>12500</v>
      </c>
      <c r="BW112" s="175">
        <v>18000</v>
      </c>
      <c r="BX112" s="179"/>
      <c r="BY112" s="179"/>
      <c r="BZ112" s="172">
        <f t="shared" ca="1" si="116"/>
        <v>54.037760683760695</v>
      </c>
      <c r="CA112" s="173">
        <f t="shared" ca="1" si="128"/>
        <v>15.439360195360198</v>
      </c>
      <c r="CB112" s="173">
        <f t="shared" ca="1" si="129"/>
        <v>15.439360195360198</v>
      </c>
      <c r="CC112" s="173">
        <f t="shared" ca="1" si="130"/>
        <v>23.159040293040299</v>
      </c>
      <c r="CD112" s="180"/>
      <c r="CE112" s="180"/>
      <c r="CF112" s="166">
        <f t="shared" ca="1" si="119"/>
        <v>34.638560967605656</v>
      </c>
      <c r="CG112" s="167">
        <f t="shared" ca="1" si="120"/>
        <v>9.896731705030188</v>
      </c>
      <c r="CH112" s="167">
        <f t="shared" ca="1" si="120"/>
        <v>9.896731705030188</v>
      </c>
      <c r="CI112" s="167">
        <f t="shared" ca="1" si="120"/>
        <v>14.845097557545284</v>
      </c>
      <c r="CJ112" s="178"/>
      <c r="CK112" s="178"/>
    </row>
    <row r="113" spans="2:89">
      <c r="B113" s="10"/>
      <c r="AC113" s="164" t="s">
        <v>168</v>
      </c>
      <c r="AD113" s="164">
        <v>48</v>
      </c>
      <c r="AE113" s="165">
        <v>12</v>
      </c>
      <c r="AF113" s="165">
        <v>12</v>
      </c>
      <c r="AG113" s="165">
        <v>24</v>
      </c>
      <c r="AH113" s="164"/>
      <c r="AI113" s="164"/>
      <c r="AJ113" s="501"/>
      <c r="AK113" s="166">
        <f t="shared" ca="1" si="104"/>
        <v>45.37555555555555</v>
      </c>
      <c r="AL113" s="167">
        <f t="shared" ca="1" si="121"/>
        <v>11.343888888888888</v>
      </c>
      <c r="AM113" s="167">
        <f t="shared" ca="1" si="122"/>
        <v>11.343888888888888</v>
      </c>
      <c r="AN113" s="167">
        <f t="shared" ca="1" si="123"/>
        <v>22.687777777777775</v>
      </c>
      <c r="AO113" s="178"/>
      <c r="AP113" s="178"/>
      <c r="AQ113" s="169">
        <f t="shared" ca="1" si="107"/>
        <v>50.61</v>
      </c>
      <c r="AR113" s="170">
        <f ca="1">INDEX('Cap based on indoor unit SZ'!$J$6:$J$21,MATCH(AE113,'Cap based on indoor unit SZ'!$I$6:$I$21))</f>
        <v>13.078888888888891</v>
      </c>
      <c r="AS113" s="170">
        <f ca="1">INDEX('Cap based on indoor unit SZ'!$J$6:$J$21,MATCH(AF113,'Cap based on indoor unit SZ'!$I$6:$I$21))</f>
        <v>13.078888888888891</v>
      </c>
      <c r="AT113" s="170">
        <f ca="1">INDEX('Cap based on indoor unit SZ'!$J$6:$J$21,MATCH(AG113,'Cap based on indoor unit SZ'!$I$6:$I$21))</f>
        <v>24.452222222222218</v>
      </c>
      <c r="AU113" s="179"/>
      <c r="AV113" s="179"/>
      <c r="AW113" s="169">
        <f t="shared" si="108"/>
        <v>44</v>
      </c>
      <c r="AX113" s="170">
        <v>11</v>
      </c>
      <c r="AY113" s="170">
        <v>11</v>
      </c>
      <c r="AZ113" s="170">
        <v>22</v>
      </c>
      <c r="BA113" s="179"/>
      <c r="BB113" s="179"/>
      <c r="BC113" s="172">
        <f t="shared" ca="1" si="109"/>
        <v>45.37555555555555</v>
      </c>
      <c r="BD113" s="173">
        <f t="shared" ca="1" si="124"/>
        <v>11.343888888888888</v>
      </c>
      <c r="BE113" s="173">
        <f t="shared" ca="1" si="124"/>
        <v>11.343888888888888</v>
      </c>
      <c r="BF113" s="173">
        <f t="shared" ca="1" si="124"/>
        <v>22.687777777777775</v>
      </c>
      <c r="BG113" s="180"/>
      <c r="BH113" s="180"/>
      <c r="BI113" s="166">
        <f t="shared" ca="1" si="112"/>
        <v>54.037760683760695</v>
      </c>
      <c r="BJ113" s="167">
        <f t="shared" ca="1" si="125"/>
        <v>13.509440170940174</v>
      </c>
      <c r="BK113" s="167">
        <f t="shared" ca="1" si="126"/>
        <v>13.509440170940174</v>
      </c>
      <c r="BL113" s="167">
        <f t="shared" ca="1" si="127"/>
        <v>27.018880341880347</v>
      </c>
      <c r="BM113" s="178"/>
      <c r="BN113" s="178"/>
      <c r="BO113" s="169">
        <f t="shared" ca="1" si="115"/>
        <v>60.180051282051281</v>
      </c>
      <c r="BP113" s="170">
        <f ca="1">INDEX('Cap based on indoor unit SZ'!$V$43:$V$58,MATCH(AE113,'Cap based on indoor unit SZ'!$U$43:$U$58))</f>
        <v>14.945025641025641</v>
      </c>
      <c r="BQ113" s="170">
        <f ca="1">INDEX('Cap based on indoor unit SZ'!$V$43:$V$58,MATCH(AF113,'Cap based on indoor unit SZ'!$U$43:$U$58))</f>
        <v>14.945025641025641</v>
      </c>
      <c r="BR113" s="170">
        <f ca="1">INDEX('Cap based on indoor unit SZ'!$V$43:$V$58,MATCH(AG113,'Cap based on indoor unit SZ'!$U$43:$U$58))</f>
        <v>30.290000000000003</v>
      </c>
      <c r="BS113" s="179"/>
      <c r="BT113" s="179"/>
      <c r="BU113" s="175">
        <v>11500</v>
      </c>
      <c r="BV113" s="175">
        <v>11500</v>
      </c>
      <c r="BW113" s="175">
        <v>23000</v>
      </c>
      <c r="BX113" s="179"/>
      <c r="BY113" s="179"/>
      <c r="BZ113" s="172">
        <f t="shared" ca="1" si="116"/>
        <v>54.037760683760695</v>
      </c>
      <c r="CA113" s="173">
        <f t="shared" ca="1" si="128"/>
        <v>13.509440170940174</v>
      </c>
      <c r="CB113" s="173">
        <f t="shared" ca="1" si="129"/>
        <v>13.509440170940174</v>
      </c>
      <c r="CC113" s="173">
        <f t="shared" ca="1" si="130"/>
        <v>27.018880341880347</v>
      </c>
      <c r="CD113" s="180"/>
      <c r="CE113" s="180"/>
      <c r="CF113" s="166">
        <f t="shared" ca="1" si="119"/>
        <v>34.638560967605663</v>
      </c>
      <c r="CG113" s="167">
        <f t="shared" ca="1" si="120"/>
        <v>8.6596402419014158</v>
      </c>
      <c r="CH113" s="167">
        <f t="shared" ca="1" si="120"/>
        <v>8.6596402419014158</v>
      </c>
      <c r="CI113" s="167">
        <f t="shared" ca="1" si="120"/>
        <v>17.319280483802832</v>
      </c>
      <c r="CJ113" s="178"/>
      <c r="CK113" s="178"/>
    </row>
    <row r="114" spans="2:89">
      <c r="B114" s="7" t="s">
        <v>24</v>
      </c>
      <c r="AC114" s="164" t="s">
        <v>167</v>
      </c>
      <c r="AD114" s="164">
        <v>48</v>
      </c>
      <c r="AE114" s="165">
        <v>12</v>
      </c>
      <c r="AF114" s="165">
        <v>18</v>
      </c>
      <c r="AG114" s="165">
        <v>18</v>
      </c>
      <c r="AH114" s="164"/>
      <c r="AI114" s="164"/>
      <c r="AJ114" s="501"/>
      <c r="AK114" s="166">
        <f t="shared" ca="1" si="104"/>
        <v>45.37555555555555</v>
      </c>
      <c r="AL114" s="167">
        <f t="shared" ca="1" si="121"/>
        <v>11.343888888888888</v>
      </c>
      <c r="AM114" s="167">
        <f t="shared" ca="1" si="122"/>
        <v>17.015833333333333</v>
      </c>
      <c r="AN114" s="167">
        <f t="shared" ca="1" si="123"/>
        <v>17.015833333333333</v>
      </c>
      <c r="AO114" s="178"/>
      <c r="AP114" s="178"/>
      <c r="AQ114" s="169">
        <f t="shared" ca="1" si="107"/>
        <v>52.721111111111114</v>
      </c>
      <c r="AR114" s="170">
        <f ca="1">INDEX('Cap based on indoor unit SZ'!$J$6:$J$21,MATCH(AE114,'Cap based on indoor unit SZ'!$I$6:$I$21))</f>
        <v>13.078888888888891</v>
      </c>
      <c r="AS114" s="170">
        <f ca="1">INDEX('Cap based on indoor unit SZ'!$J$6:$J$21,MATCH(AF114,'Cap based on indoor unit SZ'!$I$6:$I$21))</f>
        <v>19.821111111111112</v>
      </c>
      <c r="AT114" s="170">
        <f ca="1">INDEX('Cap based on indoor unit SZ'!$J$6:$J$21,MATCH(AG114,'Cap based on indoor unit SZ'!$I$6:$I$21))</f>
        <v>19.821111111111112</v>
      </c>
      <c r="AU114" s="179"/>
      <c r="AV114" s="179"/>
      <c r="AW114" s="169">
        <f t="shared" si="108"/>
        <v>44</v>
      </c>
      <c r="AX114" s="170">
        <v>11</v>
      </c>
      <c r="AY114" s="170">
        <v>16.5</v>
      </c>
      <c r="AZ114" s="170">
        <v>16.5</v>
      </c>
      <c r="BA114" s="179"/>
      <c r="BB114" s="179"/>
      <c r="BC114" s="172">
        <f t="shared" ca="1" si="109"/>
        <v>45.37555555555555</v>
      </c>
      <c r="BD114" s="173">
        <f t="shared" ca="1" si="124"/>
        <v>11.343888888888888</v>
      </c>
      <c r="BE114" s="173">
        <f t="shared" ca="1" si="124"/>
        <v>17.015833333333333</v>
      </c>
      <c r="BF114" s="173">
        <f t="shared" ca="1" si="124"/>
        <v>17.015833333333333</v>
      </c>
      <c r="BG114" s="180"/>
      <c r="BH114" s="180"/>
      <c r="BI114" s="166">
        <f t="shared" ca="1" si="112"/>
        <v>54.037760683760695</v>
      </c>
      <c r="BJ114" s="167">
        <f t="shared" ca="1" si="125"/>
        <v>13.509440170940174</v>
      </c>
      <c r="BK114" s="167">
        <f t="shared" ca="1" si="126"/>
        <v>20.264160256410261</v>
      </c>
      <c r="BL114" s="167">
        <f t="shared" ca="1" si="127"/>
        <v>20.264160256410261</v>
      </c>
      <c r="BM114" s="178"/>
      <c r="BN114" s="178"/>
      <c r="BO114" s="169">
        <f t="shared" ca="1" si="115"/>
        <v>64.14266666666667</v>
      </c>
      <c r="BP114" s="170">
        <f ca="1">INDEX('Cap based on indoor unit SZ'!$V$43:$V$58,MATCH(AE114,'Cap based on indoor unit SZ'!$U$43:$U$58))</f>
        <v>14.945025641025641</v>
      </c>
      <c r="BQ114" s="170">
        <f ca="1">INDEX('Cap based on indoor unit SZ'!$V$43:$V$58,MATCH(AF114,'Cap based on indoor unit SZ'!$U$43:$U$58))</f>
        <v>24.598820512820513</v>
      </c>
      <c r="BR114" s="170">
        <f ca="1">INDEX('Cap based on indoor unit SZ'!$V$43:$V$58,MATCH(AG114,'Cap based on indoor unit SZ'!$U$43:$U$58))</f>
        <v>24.598820512820513</v>
      </c>
      <c r="BS114" s="179"/>
      <c r="BT114" s="179"/>
      <c r="BU114" s="175">
        <v>11500</v>
      </c>
      <c r="BV114" s="175">
        <v>17000</v>
      </c>
      <c r="BW114" s="175">
        <v>17000</v>
      </c>
      <c r="BX114" s="179"/>
      <c r="BY114" s="179"/>
      <c r="BZ114" s="172">
        <f t="shared" ca="1" si="116"/>
        <v>54.037760683760695</v>
      </c>
      <c r="CA114" s="173">
        <f t="shared" ca="1" si="128"/>
        <v>13.509440170940174</v>
      </c>
      <c r="CB114" s="173">
        <f t="shared" ca="1" si="129"/>
        <v>20.264160256410261</v>
      </c>
      <c r="CC114" s="173">
        <f t="shared" ca="1" si="130"/>
        <v>20.264160256410261</v>
      </c>
      <c r="CD114" s="180"/>
      <c r="CE114" s="180"/>
      <c r="CF114" s="166">
        <f t="shared" ca="1" si="119"/>
        <v>34.63856096760567</v>
      </c>
      <c r="CG114" s="167">
        <f t="shared" ca="1" si="120"/>
        <v>8.6596402419014158</v>
      </c>
      <c r="CH114" s="167">
        <f t="shared" ca="1" si="120"/>
        <v>12.989460362852125</v>
      </c>
      <c r="CI114" s="167">
        <f t="shared" ca="1" si="120"/>
        <v>12.989460362852125</v>
      </c>
      <c r="CJ114" s="178"/>
      <c r="CK114" s="178"/>
    </row>
    <row r="115" spans="2:89">
      <c r="B115" s="527" t="s">
        <v>9</v>
      </c>
      <c r="C115" s="528" t="s">
        <v>0</v>
      </c>
      <c r="D115" s="529"/>
      <c r="E115" s="530"/>
      <c r="F115" s="11"/>
      <c r="G115" s="531" t="s">
        <v>10</v>
      </c>
      <c r="H115" s="531"/>
      <c r="I115" s="531"/>
      <c r="J115" s="531"/>
      <c r="K115" s="531"/>
      <c r="L115" s="531"/>
      <c r="M115" s="531"/>
      <c r="N115" s="531"/>
      <c r="O115" s="531"/>
      <c r="P115" s="531"/>
      <c r="Q115" s="531"/>
      <c r="R115" s="12"/>
      <c r="AC115" s="164" t="s">
        <v>166</v>
      </c>
      <c r="AD115" s="164">
        <v>48</v>
      </c>
      <c r="AE115" s="165">
        <v>12</v>
      </c>
      <c r="AF115" s="165">
        <v>18</v>
      </c>
      <c r="AG115" s="165">
        <v>24</v>
      </c>
      <c r="AH115" s="164"/>
      <c r="AI115" s="164"/>
      <c r="AJ115" s="501"/>
      <c r="AK115" s="166">
        <f t="shared" ca="1" si="104"/>
        <v>45.37555555555555</v>
      </c>
      <c r="AL115" s="167">
        <f t="shared" ca="1" si="121"/>
        <v>10.083456790123455</v>
      </c>
      <c r="AM115" s="167">
        <f t="shared" ca="1" si="122"/>
        <v>15.125185185185183</v>
      </c>
      <c r="AN115" s="167">
        <f t="shared" ca="1" si="123"/>
        <v>20.166913580246909</v>
      </c>
      <c r="AO115" s="178"/>
      <c r="AP115" s="178"/>
      <c r="AQ115" s="169">
        <f t="shared" ca="1" si="107"/>
        <v>57.352222222222224</v>
      </c>
      <c r="AR115" s="170">
        <f ca="1">INDEX('Cap based on indoor unit SZ'!$J$6:$J$21,MATCH(AE115,'Cap based on indoor unit SZ'!$I$6:$I$21))</f>
        <v>13.078888888888891</v>
      </c>
      <c r="AS115" s="170">
        <f ca="1">INDEX('Cap based on indoor unit SZ'!$J$6:$J$21,MATCH(AF115,'Cap based on indoor unit SZ'!$I$6:$I$21))</f>
        <v>19.821111111111112</v>
      </c>
      <c r="AT115" s="170">
        <f ca="1">INDEX('Cap based on indoor unit SZ'!$J$6:$J$21,MATCH(AG115,'Cap based on indoor unit SZ'!$I$6:$I$21))</f>
        <v>24.452222222222218</v>
      </c>
      <c r="AU115" s="179"/>
      <c r="AV115" s="179"/>
      <c r="AW115" s="169">
        <f t="shared" si="108"/>
        <v>48</v>
      </c>
      <c r="AX115" s="170">
        <v>10.5</v>
      </c>
      <c r="AY115" s="170">
        <v>16</v>
      </c>
      <c r="AZ115" s="170">
        <v>21.5</v>
      </c>
      <c r="BA115" s="179"/>
      <c r="BB115" s="179"/>
      <c r="BC115" s="172">
        <f t="shared" ca="1" si="109"/>
        <v>45.37555555555555</v>
      </c>
      <c r="BD115" s="173">
        <f t="shared" ca="1" si="124"/>
        <v>10.083456790123455</v>
      </c>
      <c r="BE115" s="173">
        <f t="shared" ca="1" si="124"/>
        <v>15.125185185185183</v>
      </c>
      <c r="BF115" s="173">
        <f t="shared" ca="1" si="124"/>
        <v>20.166913580246909</v>
      </c>
      <c r="BG115" s="180"/>
      <c r="BH115" s="180"/>
      <c r="BI115" s="166">
        <f t="shared" ca="1" si="112"/>
        <v>54.037760683760688</v>
      </c>
      <c r="BJ115" s="167">
        <f t="shared" ca="1" si="125"/>
        <v>12.008391263057931</v>
      </c>
      <c r="BK115" s="167">
        <f t="shared" ca="1" si="126"/>
        <v>18.012586894586896</v>
      </c>
      <c r="BL115" s="167">
        <f t="shared" ca="1" si="127"/>
        <v>24.016782526115861</v>
      </c>
      <c r="BM115" s="178"/>
      <c r="BN115" s="178"/>
      <c r="BO115" s="169">
        <f t="shared" ca="1" si="115"/>
        <v>69.833846153846153</v>
      </c>
      <c r="BP115" s="170">
        <f ca="1">INDEX('Cap based on indoor unit SZ'!$V$43:$V$58,MATCH(AE115,'Cap based on indoor unit SZ'!$U$43:$U$58))</f>
        <v>14.945025641025641</v>
      </c>
      <c r="BQ115" s="170">
        <f ca="1">INDEX('Cap based on indoor unit SZ'!$V$43:$V$58,MATCH(AF115,'Cap based on indoor unit SZ'!$U$43:$U$58))</f>
        <v>24.598820512820513</v>
      </c>
      <c r="BR115" s="170">
        <f ca="1">INDEX('Cap based on indoor unit SZ'!$V$43:$V$58,MATCH(AG115,'Cap based on indoor unit SZ'!$U$43:$U$58))</f>
        <v>30.290000000000003</v>
      </c>
      <c r="BS115" s="179"/>
      <c r="BT115" s="179"/>
      <c r="BU115" s="175">
        <v>11000</v>
      </c>
      <c r="BV115" s="175">
        <v>16000</v>
      </c>
      <c r="BW115" s="175">
        <v>22000</v>
      </c>
      <c r="BX115" s="179"/>
      <c r="BY115" s="179"/>
      <c r="BZ115" s="172">
        <f t="shared" ca="1" si="116"/>
        <v>54.037760683760688</v>
      </c>
      <c r="CA115" s="173">
        <f t="shared" ca="1" si="128"/>
        <v>12.008391263057931</v>
      </c>
      <c r="CB115" s="173">
        <f t="shared" ca="1" si="129"/>
        <v>18.012586894586896</v>
      </c>
      <c r="CC115" s="173">
        <f t="shared" ca="1" si="130"/>
        <v>24.016782526115861</v>
      </c>
      <c r="CD115" s="180"/>
      <c r="CE115" s="180"/>
      <c r="CF115" s="166">
        <f t="shared" ca="1" si="119"/>
        <v>34.638560967605656</v>
      </c>
      <c r="CG115" s="167">
        <f t="shared" ca="1" si="120"/>
        <v>7.6974579928012572</v>
      </c>
      <c r="CH115" s="167">
        <f t="shared" ca="1" si="120"/>
        <v>11.546186989201887</v>
      </c>
      <c r="CI115" s="167">
        <f t="shared" ca="1" si="120"/>
        <v>15.394915985602514</v>
      </c>
      <c r="CJ115" s="178"/>
      <c r="CK115" s="178"/>
    </row>
    <row r="116" spans="2:89">
      <c r="B116" s="527"/>
      <c r="C116" s="518" t="s">
        <v>25</v>
      </c>
      <c r="D116" s="519"/>
      <c r="E116" s="153"/>
      <c r="F116" s="152"/>
      <c r="G116" s="152"/>
      <c r="H116" s="152"/>
      <c r="I116" s="152"/>
      <c r="J116" s="152"/>
      <c r="K116" s="152"/>
      <c r="L116" s="152"/>
      <c r="M116" s="152"/>
      <c r="N116" s="152"/>
      <c r="O116" s="152"/>
      <c r="P116" s="152"/>
      <c r="Q116" s="152"/>
      <c r="R116" s="13"/>
      <c r="AC116" s="164" t="s">
        <v>165</v>
      </c>
      <c r="AD116" s="164">
        <v>48</v>
      </c>
      <c r="AE116" s="165">
        <v>12</v>
      </c>
      <c r="AF116" s="165">
        <v>24</v>
      </c>
      <c r="AG116" s="165">
        <v>24</v>
      </c>
      <c r="AH116" s="164"/>
      <c r="AI116" s="164"/>
      <c r="AJ116" s="501"/>
      <c r="AK116" s="166">
        <f t="shared" ca="1" si="104"/>
        <v>45.37555555555555</v>
      </c>
      <c r="AL116" s="167">
        <f t="shared" ca="1" si="121"/>
        <v>9.0751111111111094</v>
      </c>
      <c r="AM116" s="167">
        <f t="shared" ca="1" si="122"/>
        <v>18.150222222222219</v>
      </c>
      <c r="AN116" s="167">
        <f t="shared" ca="1" si="123"/>
        <v>18.150222222222219</v>
      </c>
      <c r="AO116" s="178"/>
      <c r="AP116" s="178"/>
      <c r="AQ116" s="169">
        <f t="shared" ca="1" si="107"/>
        <v>61.983333333333327</v>
      </c>
      <c r="AR116" s="170">
        <f ca="1">INDEX('Cap based on indoor unit SZ'!$J$6:$J$21,MATCH(AE116,'Cap based on indoor unit SZ'!$I$6:$I$21))</f>
        <v>13.078888888888891</v>
      </c>
      <c r="AS116" s="170">
        <f ca="1">INDEX('Cap based on indoor unit SZ'!$J$6:$J$21,MATCH(AF116,'Cap based on indoor unit SZ'!$I$6:$I$21))</f>
        <v>24.452222222222218</v>
      </c>
      <c r="AT116" s="170">
        <f ca="1">INDEX('Cap based on indoor unit SZ'!$J$6:$J$21,MATCH(AG116,'Cap based on indoor unit SZ'!$I$6:$I$21))</f>
        <v>24.452222222222218</v>
      </c>
      <c r="AU116" s="179"/>
      <c r="AV116" s="179"/>
      <c r="AW116" s="169">
        <f t="shared" si="108"/>
        <v>50</v>
      </c>
      <c r="AX116" s="170">
        <v>10</v>
      </c>
      <c r="AY116" s="170">
        <v>20</v>
      </c>
      <c r="AZ116" s="170">
        <v>20</v>
      </c>
      <c r="BA116" s="179"/>
      <c r="BB116" s="179"/>
      <c r="BC116" s="172">
        <f t="shared" ca="1" si="109"/>
        <v>45.37555555555555</v>
      </c>
      <c r="BD116" s="173">
        <f t="shared" ca="1" si="124"/>
        <v>9.0751111111111094</v>
      </c>
      <c r="BE116" s="173">
        <f t="shared" ca="1" si="124"/>
        <v>18.150222222222219</v>
      </c>
      <c r="BF116" s="173">
        <f t="shared" ca="1" si="124"/>
        <v>18.150222222222219</v>
      </c>
      <c r="BG116" s="180"/>
      <c r="BH116" s="180"/>
      <c r="BI116" s="166">
        <f t="shared" ca="1" si="112"/>
        <v>54.037760683760695</v>
      </c>
      <c r="BJ116" s="167">
        <f t="shared" ca="1" si="125"/>
        <v>10.807552136752138</v>
      </c>
      <c r="BK116" s="167">
        <f t="shared" ca="1" si="126"/>
        <v>21.615104273504276</v>
      </c>
      <c r="BL116" s="167">
        <f t="shared" ca="1" si="127"/>
        <v>21.615104273504276</v>
      </c>
      <c r="BM116" s="178"/>
      <c r="BN116" s="178"/>
      <c r="BO116" s="169">
        <f t="shared" ca="1" si="115"/>
        <v>75.52502564102565</v>
      </c>
      <c r="BP116" s="170">
        <f ca="1">INDEX('Cap based on indoor unit SZ'!$V$43:$V$58,MATCH(AE116,'Cap based on indoor unit SZ'!$U$43:$U$58))</f>
        <v>14.945025641025641</v>
      </c>
      <c r="BQ116" s="170">
        <f ca="1">INDEX('Cap based on indoor unit SZ'!$V$43:$V$58,MATCH(AF116,'Cap based on indoor unit SZ'!$U$43:$U$58))</f>
        <v>30.290000000000003</v>
      </c>
      <c r="BR116" s="170">
        <f ca="1">INDEX('Cap based on indoor unit SZ'!$V$43:$V$58,MATCH(AG116,'Cap based on indoor unit SZ'!$U$43:$U$58))</f>
        <v>30.290000000000003</v>
      </c>
      <c r="BS116" s="179"/>
      <c r="BT116" s="179"/>
      <c r="BU116" s="175">
        <v>11000</v>
      </c>
      <c r="BV116" s="175">
        <v>20500</v>
      </c>
      <c r="BW116" s="175">
        <v>20500</v>
      </c>
      <c r="BX116" s="179"/>
      <c r="BY116" s="179"/>
      <c r="BZ116" s="172">
        <f t="shared" ca="1" si="116"/>
        <v>54.037760683760695</v>
      </c>
      <c r="CA116" s="173">
        <f t="shared" ca="1" si="128"/>
        <v>10.807552136752138</v>
      </c>
      <c r="CB116" s="173">
        <f t="shared" ca="1" si="129"/>
        <v>21.615104273504276</v>
      </c>
      <c r="CC116" s="173">
        <f t="shared" ca="1" si="130"/>
        <v>21.615104273504276</v>
      </c>
      <c r="CD116" s="180"/>
      <c r="CE116" s="180"/>
      <c r="CF116" s="166">
        <f t="shared" ca="1" si="119"/>
        <v>34.638560967605656</v>
      </c>
      <c r="CG116" s="167">
        <f t="shared" ca="1" si="120"/>
        <v>6.9277121935211312</v>
      </c>
      <c r="CH116" s="167">
        <f t="shared" ca="1" si="120"/>
        <v>13.855424387042262</v>
      </c>
      <c r="CI116" s="167">
        <f t="shared" ca="1" si="120"/>
        <v>13.855424387042262</v>
      </c>
      <c r="CJ116" s="178"/>
      <c r="CK116" s="178"/>
    </row>
    <row r="117" spans="2:89" ht="14.4" thickBot="1">
      <c r="B117" s="527"/>
      <c r="C117" s="520"/>
      <c r="D117" s="521"/>
      <c r="E117" s="237"/>
      <c r="F117" s="291">
        <v>-22</v>
      </c>
      <c r="G117" s="292">
        <v>-13</v>
      </c>
      <c r="H117" s="292">
        <v>-4</v>
      </c>
      <c r="I117" s="292">
        <v>0</v>
      </c>
      <c r="J117" s="292">
        <v>5</v>
      </c>
      <c r="K117" s="292">
        <v>17</v>
      </c>
      <c r="L117" s="292">
        <v>19.399999999999999</v>
      </c>
      <c r="M117" s="292">
        <v>24.8</v>
      </c>
      <c r="N117" s="292">
        <v>32</v>
      </c>
      <c r="O117" s="292">
        <v>39.200000000000003</v>
      </c>
      <c r="P117" s="291">
        <v>44.6</v>
      </c>
      <c r="Q117" s="291">
        <v>53.6</v>
      </c>
      <c r="R117" s="235"/>
      <c r="S117" s="235"/>
      <c r="T117" s="235"/>
      <c r="U117" s="235"/>
      <c r="V117" s="154" t="s">
        <v>98</v>
      </c>
      <c r="W117" s="154" t="s">
        <v>76</v>
      </c>
      <c r="X117" s="154" t="s">
        <v>99</v>
      </c>
      <c r="AC117" s="164" t="s">
        <v>164</v>
      </c>
      <c r="AD117" s="164">
        <v>48</v>
      </c>
      <c r="AE117" s="165">
        <v>18</v>
      </c>
      <c r="AF117" s="165">
        <v>18</v>
      </c>
      <c r="AG117" s="165">
        <v>18</v>
      </c>
      <c r="AH117" s="164"/>
      <c r="AI117" s="164"/>
      <c r="AJ117" s="501"/>
      <c r="AK117" s="166">
        <f t="shared" ca="1" si="104"/>
        <v>45.37555555555555</v>
      </c>
      <c r="AL117" s="167">
        <f t="shared" ca="1" si="121"/>
        <v>15.125185185185183</v>
      </c>
      <c r="AM117" s="167">
        <f t="shared" ca="1" si="122"/>
        <v>15.125185185185183</v>
      </c>
      <c r="AN117" s="167">
        <f t="shared" ca="1" si="123"/>
        <v>15.125185185185183</v>
      </c>
      <c r="AO117" s="178"/>
      <c r="AP117" s="178"/>
      <c r="AQ117" s="169">
        <f t="shared" ca="1" si="107"/>
        <v>59.463333333333338</v>
      </c>
      <c r="AR117" s="170">
        <f ca="1">INDEX('Cap based on indoor unit SZ'!$J$6:$J$21,MATCH(AE117,'Cap based on indoor unit SZ'!$I$6:$I$21))</f>
        <v>19.821111111111112</v>
      </c>
      <c r="AS117" s="170">
        <f ca="1">INDEX('Cap based on indoor unit SZ'!$J$6:$J$21,MATCH(AF117,'Cap based on indoor unit SZ'!$I$6:$I$21))</f>
        <v>19.821111111111112</v>
      </c>
      <c r="AT117" s="170">
        <f ca="1">INDEX('Cap based on indoor unit SZ'!$J$6:$J$21,MATCH(AG117,'Cap based on indoor unit SZ'!$I$6:$I$21))</f>
        <v>19.821111111111112</v>
      </c>
      <c r="AU117" s="179"/>
      <c r="AV117" s="179"/>
      <c r="AW117" s="169">
        <f t="shared" si="108"/>
        <v>48</v>
      </c>
      <c r="AX117" s="170">
        <v>16</v>
      </c>
      <c r="AY117" s="170">
        <v>16</v>
      </c>
      <c r="AZ117" s="170">
        <v>16</v>
      </c>
      <c r="BA117" s="179"/>
      <c r="BB117" s="179"/>
      <c r="BC117" s="172">
        <f t="shared" ca="1" si="109"/>
        <v>45.37555555555555</v>
      </c>
      <c r="BD117" s="173">
        <f t="shared" ca="1" si="124"/>
        <v>15.125185185185183</v>
      </c>
      <c r="BE117" s="173">
        <f t="shared" ca="1" si="124"/>
        <v>15.125185185185183</v>
      </c>
      <c r="BF117" s="173">
        <f t="shared" ca="1" si="124"/>
        <v>15.125185185185183</v>
      </c>
      <c r="BG117" s="180"/>
      <c r="BH117" s="180"/>
      <c r="BI117" s="166">
        <f t="shared" ca="1" si="112"/>
        <v>54.037760683760688</v>
      </c>
      <c r="BJ117" s="167">
        <f t="shared" ca="1" si="125"/>
        <v>18.012586894586896</v>
      </c>
      <c r="BK117" s="167">
        <f t="shared" ca="1" si="126"/>
        <v>18.012586894586896</v>
      </c>
      <c r="BL117" s="167">
        <f t="shared" ca="1" si="127"/>
        <v>18.012586894586896</v>
      </c>
      <c r="BM117" s="178"/>
      <c r="BN117" s="178"/>
      <c r="BO117" s="169">
        <f t="shared" ca="1" si="115"/>
        <v>73.796461538461543</v>
      </c>
      <c r="BP117" s="170">
        <f ca="1">INDEX('Cap based on indoor unit SZ'!$V$43:$V$58,MATCH(AE117,'Cap based on indoor unit SZ'!$U$43:$U$58))</f>
        <v>24.598820512820513</v>
      </c>
      <c r="BQ117" s="170">
        <f ca="1">INDEX('Cap based on indoor unit SZ'!$V$43:$V$58,MATCH(AF117,'Cap based on indoor unit SZ'!$U$43:$U$58))</f>
        <v>24.598820512820513</v>
      </c>
      <c r="BR117" s="170">
        <f ca="1">INDEX('Cap based on indoor unit SZ'!$V$43:$V$58,MATCH(AG117,'Cap based on indoor unit SZ'!$U$43:$U$58))</f>
        <v>24.598820512820513</v>
      </c>
      <c r="BS117" s="179"/>
      <c r="BT117" s="179"/>
      <c r="BU117" s="175">
        <v>16500</v>
      </c>
      <c r="BV117" s="175">
        <v>16500</v>
      </c>
      <c r="BW117" s="175">
        <v>16500</v>
      </c>
      <c r="BX117" s="179"/>
      <c r="BY117" s="179"/>
      <c r="BZ117" s="172">
        <f t="shared" ca="1" si="116"/>
        <v>54.037760683760688</v>
      </c>
      <c r="CA117" s="173">
        <f t="shared" ca="1" si="128"/>
        <v>18.012586894586896</v>
      </c>
      <c r="CB117" s="173">
        <f t="shared" ca="1" si="129"/>
        <v>18.012586894586896</v>
      </c>
      <c r="CC117" s="173">
        <f t="shared" ca="1" si="130"/>
        <v>18.012586894586896</v>
      </c>
      <c r="CD117" s="180"/>
      <c r="CE117" s="180"/>
      <c r="CF117" s="166">
        <f t="shared" ca="1" si="119"/>
        <v>34.638560967605663</v>
      </c>
      <c r="CG117" s="167">
        <f t="shared" ca="1" si="120"/>
        <v>11.546186989201887</v>
      </c>
      <c r="CH117" s="167">
        <f t="shared" ca="1" si="120"/>
        <v>11.546186989201887</v>
      </c>
      <c r="CI117" s="167">
        <f t="shared" ca="1" si="120"/>
        <v>11.546186989201887</v>
      </c>
      <c r="CJ117" s="178"/>
      <c r="CK117" s="178"/>
    </row>
    <row r="118" spans="2:89">
      <c r="B118" s="283">
        <v>18</v>
      </c>
      <c r="C118" s="285">
        <v>59</v>
      </c>
      <c r="D118" s="286"/>
      <c r="E118" s="8" t="s">
        <v>15</v>
      </c>
      <c r="F118" s="9">
        <v>7.25</v>
      </c>
      <c r="G118" s="2">
        <v>9.0500000000000007</v>
      </c>
      <c r="H118" s="2">
        <v>11.18</v>
      </c>
      <c r="I118" s="2">
        <v>12.58</v>
      </c>
      <c r="J118" s="2">
        <v>14.73</v>
      </c>
      <c r="K118" s="2">
        <v>16.91</v>
      </c>
      <c r="L118" s="2">
        <v>17.12</v>
      </c>
      <c r="M118" s="2">
        <v>17.64</v>
      </c>
      <c r="N118" s="2">
        <v>18.36</v>
      </c>
      <c r="O118" s="2">
        <v>19.670000000000002</v>
      </c>
      <c r="P118" s="2">
        <v>23.68</v>
      </c>
      <c r="Q118" s="2">
        <v>25.16</v>
      </c>
      <c r="R118" s="195">
        <f t="shared" ref="R118:R137" ca="1" si="131">FORECAST(Heat_Design_T,OFFSET(F118:Q118,0,MATCH(Heat_Design_T,$F$117:$Q$117,1)-1,1,2),OFFSET($F$117:$Q$117,0,MATCH(Heat_Design_T,$F$117:$Q$117,1)-1,1,2))</f>
        <v>23.745777777777779</v>
      </c>
      <c r="S118" s="145"/>
      <c r="T118" s="145"/>
      <c r="U118" s="146" t="s">
        <v>96</v>
      </c>
      <c r="V118" s="147">
        <f ca="1">FORECAST(INDOOR_HEAT_DB,OFFSET(R118:R121,MATCH(INDOOR_HEAT_DB,C118:C121,1)-1,0,2),OFFSET(C118:C121,MATCH(INDOOR_HEAT_DB,C118:C121,1)-1,0,2))</f>
        <v>20.458273504273503</v>
      </c>
      <c r="W118" s="145">
        <f>B118</f>
        <v>18</v>
      </c>
      <c r="X118" s="147">
        <f ca="1">IF(OR(INDOOR_HEAT_DB&lt;C118,INDOOR_HEAT_DB&gt;C121),V120,V118)</f>
        <v>20.458273504273503</v>
      </c>
      <c r="AC118" s="164" t="s">
        <v>163</v>
      </c>
      <c r="AD118" s="164">
        <v>48</v>
      </c>
      <c r="AE118" s="165">
        <v>18</v>
      </c>
      <c r="AF118" s="165">
        <v>18</v>
      </c>
      <c r="AG118" s="165">
        <v>24</v>
      </c>
      <c r="AH118" s="164"/>
      <c r="AI118" s="164"/>
      <c r="AJ118" s="501"/>
      <c r="AK118" s="166">
        <f t="shared" ca="1" si="104"/>
        <v>45.37555555555555</v>
      </c>
      <c r="AL118" s="167">
        <f t="shared" ca="1" si="121"/>
        <v>13.612666666666666</v>
      </c>
      <c r="AM118" s="167">
        <f t="shared" ca="1" si="122"/>
        <v>13.612666666666666</v>
      </c>
      <c r="AN118" s="167">
        <f t="shared" ca="1" si="123"/>
        <v>18.150222222222219</v>
      </c>
      <c r="AO118" s="178"/>
      <c r="AP118" s="178"/>
      <c r="AQ118" s="169">
        <f t="shared" ca="1" si="107"/>
        <v>64.094444444444434</v>
      </c>
      <c r="AR118" s="170">
        <f ca="1">INDEX('Cap based on indoor unit SZ'!$J$6:$J$21,MATCH(AE118,'Cap based on indoor unit SZ'!$I$6:$I$21))</f>
        <v>19.821111111111112</v>
      </c>
      <c r="AS118" s="170">
        <f ca="1">INDEX('Cap based on indoor unit SZ'!$J$6:$J$21,MATCH(AF118,'Cap based on indoor unit SZ'!$I$6:$I$21))</f>
        <v>19.821111111111112</v>
      </c>
      <c r="AT118" s="170">
        <f ca="1">INDEX('Cap based on indoor unit SZ'!$J$6:$J$21,MATCH(AG118,'Cap based on indoor unit SZ'!$I$6:$I$21))</f>
        <v>24.452222222222218</v>
      </c>
      <c r="AU118" s="179"/>
      <c r="AV118" s="179"/>
      <c r="AW118" s="169">
        <f t="shared" si="108"/>
        <v>50</v>
      </c>
      <c r="AX118" s="170">
        <v>15</v>
      </c>
      <c r="AY118" s="170">
        <v>15</v>
      </c>
      <c r="AZ118" s="170">
        <v>20</v>
      </c>
      <c r="BA118" s="179"/>
      <c r="BB118" s="179"/>
      <c r="BC118" s="172">
        <f t="shared" ca="1" si="109"/>
        <v>45.37555555555555</v>
      </c>
      <c r="BD118" s="173">
        <f t="shared" ca="1" si="124"/>
        <v>13.612666666666666</v>
      </c>
      <c r="BE118" s="173">
        <f t="shared" ca="1" si="124"/>
        <v>13.612666666666666</v>
      </c>
      <c r="BF118" s="173">
        <f t="shared" ca="1" si="124"/>
        <v>18.150222222222219</v>
      </c>
      <c r="BG118" s="180"/>
      <c r="BH118" s="180"/>
      <c r="BI118" s="166">
        <f t="shared" ca="1" si="112"/>
        <v>54.037760683760695</v>
      </c>
      <c r="BJ118" s="167">
        <f t="shared" ca="1" si="125"/>
        <v>16.211328205128208</v>
      </c>
      <c r="BK118" s="167">
        <f t="shared" ca="1" si="126"/>
        <v>16.211328205128208</v>
      </c>
      <c r="BL118" s="167">
        <f t="shared" ca="1" si="127"/>
        <v>21.615104273504276</v>
      </c>
      <c r="BM118" s="178"/>
      <c r="BN118" s="178"/>
      <c r="BO118" s="169">
        <f t="shared" ca="1" si="115"/>
        <v>79.487641025641025</v>
      </c>
      <c r="BP118" s="170">
        <f ca="1">INDEX('Cap based on indoor unit SZ'!$V$43:$V$58,MATCH(AE118,'Cap based on indoor unit SZ'!$U$43:$U$58))</f>
        <v>24.598820512820513</v>
      </c>
      <c r="BQ118" s="170">
        <f ca="1">INDEX('Cap based on indoor unit SZ'!$V$43:$V$58,MATCH(AF118,'Cap based on indoor unit SZ'!$U$43:$U$58))</f>
        <v>24.598820512820513</v>
      </c>
      <c r="BR118" s="170">
        <f ca="1">INDEX('Cap based on indoor unit SZ'!$V$43:$V$58,MATCH(AG118,'Cap based on indoor unit SZ'!$U$43:$U$58))</f>
        <v>30.290000000000003</v>
      </c>
      <c r="BS118" s="179"/>
      <c r="BT118" s="179"/>
      <c r="BU118" s="175">
        <v>15500</v>
      </c>
      <c r="BV118" s="175">
        <v>15500</v>
      </c>
      <c r="BW118" s="175">
        <v>21000</v>
      </c>
      <c r="BX118" s="179"/>
      <c r="BY118" s="179"/>
      <c r="BZ118" s="172">
        <f t="shared" ca="1" si="116"/>
        <v>54.037760683760695</v>
      </c>
      <c r="CA118" s="173">
        <f t="shared" ca="1" si="128"/>
        <v>16.211328205128208</v>
      </c>
      <c r="CB118" s="173">
        <f t="shared" ca="1" si="129"/>
        <v>16.211328205128208</v>
      </c>
      <c r="CC118" s="173">
        <f t="shared" ca="1" si="130"/>
        <v>21.615104273504276</v>
      </c>
      <c r="CD118" s="180"/>
      <c r="CE118" s="180"/>
      <c r="CF118" s="166">
        <f t="shared" ca="1" si="119"/>
        <v>34.638560967605656</v>
      </c>
      <c r="CG118" s="167">
        <f t="shared" ca="1" si="120"/>
        <v>10.391568290281699</v>
      </c>
      <c r="CH118" s="167">
        <f t="shared" ca="1" si="120"/>
        <v>10.391568290281699</v>
      </c>
      <c r="CI118" s="167">
        <f t="shared" ca="1" si="120"/>
        <v>13.855424387042262</v>
      </c>
      <c r="CJ118" s="178"/>
      <c r="CK118" s="178"/>
    </row>
    <row r="119" spans="2:89">
      <c r="B119" s="284">
        <v>18</v>
      </c>
      <c r="C119" s="287">
        <v>64.400000000000006</v>
      </c>
      <c r="D119" s="288"/>
      <c r="E119" s="8" t="s">
        <v>15</v>
      </c>
      <c r="F119" s="9">
        <v>7.14</v>
      </c>
      <c r="G119" s="2">
        <v>8.91</v>
      </c>
      <c r="H119" s="2">
        <v>11.01</v>
      </c>
      <c r="I119" s="2">
        <v>12.39</v>
      </c>
      <c r="J119" s="2">
        <v>14.56</v>
      </c>
      <c r="K119" s="2">
        <v>16.66</v>
      </c>
      <c r="L119" s="2">
        <v>16.86</v>
      </c>
      <c r="M119" s="2">
        <v>17.38</v>
      </c>
      <c r="N119" s="2">
        <v>18.079999999999998</v>
      </c>
      <c r="O119" s="2">
        <v>19.37</v>
      </c>
      <c r="P119" s="2">
        <v>23.32</v>
      </c>
      <c r="Q119" s="2">
        <v>24.78</v>
      </c>
      <c r="R119" s="203">
        <f t="shared" ca="1" si="131"/>
        <v>23.384888888888888</v>
      </c>
      <c r="S119" s="145"/>
      <c r="T119" s="145"/>
      <c r="U119" s="146"/>
      <c r="V119" s="148"/>
      <c r="W119" s="145"/>
      <c r="X119" s="152"/>
      <c r="AC119" s="164" t="s">
        <v>162</v>
      </c>
      <c r="AD119" s="164">
        <v>48</v>
      </c>
      <c r="AE119" s="165">
        <v>9</v>
      </c>
      <c r="AF119" s="165">
        <v>9</v>
      </c>
      <c r="AG119" s="165">
        <v>9</v>
      </c>
      <c r="AH119" s="165">
        <v>9</v>
      </c>
      <c r="AI119" s="165"/>
      <c r="AJ119" s="500">
        <v>4</v>
      </c>
      <c r="AK119" s="166">
        <f t="shared" ca="1" si="104"/>
        <v>41.852444444444444</v>
      </c>
      <c r="AL119" s="167">
        <f t="shared" ref="AL119:AL136" ca="1" si="132">IF((INDEX($AA$4:$AA$7,MATCH(INDOOR_1,$Z$4:$Z$7))*(INDEX($X$27:$X$46,MATCH($AD119,$W$27:$W$46,1))/(INDEX($AA$4:$AA$7,MATCH(INDOOR_1,$Z$4:$Z$7))+INDEX($AA$4:$AA$7,MATCH(INDOOR_2,$Z$4:$Z$7))+INDEX($AA$4:$AA$7,MATCH(INDOOR_3,$Z$4:$Z$7))+INDEX($AA$4:$AA$7,MATCH(INDOOR_4,$Z$4:$Z$7)))))
&gt;AR119,AR119,
(INDEX($AA$4:$AA$7,MATCH(INDOOR_1,$Z$4:$Z$7))*(INDEX($X$27:$X$46,MATCH($AD119,$W$27:$W$46,1))/(INDEX($AA$4:$AA$7,MATCH(INDOOR_1,$Z$4:$Z$7))+INDEX($AA$4:$AA$7,MATCH(INDOOR_2,$Z$4:$Z$7))+INDEX($AA$4:$AA$7,MATCH(INDOOR_3,$Z$4:$Z$7))+INDEX($AA$4:$AA$7,MATCH(INDOOR_4,$Z$4:$Z$7))))))</f>
        <v>10.463111111111111</v>
      </c>
      <c r="AM119" s="167">
        <f t="shared" ref="AM119:AM136" ca="1" si="133">IF((INDEX($AA$4:$AA$7,MATCH(INDOOR_2,$Z$4:$Z$7))*(INDEX($X$27:$X$46,MATCH($AD119,$W$27:$W$46,1))/(INDEX($AA$4:$AA$7,MATCH(INDOOR_1,$Z$4:$Z$7))+INDEX($AA$4:$AA$7,MATCH(INDOOR_2,$Z$4:$Z$7))+INDEX($AA$4:$AA$7,MATCH(INDOOR_3,$Z$4:$Z$7))+INDEX($AA$4:$AA$7,MATCH(INDOOR_4,$Z$4:$Z$7)))))
&gt;AS119,AS119,
(INDEX($AA$4:$AA$7,MATCH(INDOOR_2,$Z$4:$Z$7))*(INDEX($X$27:$X$46,MATCH($AD119,$W$27:$W$46,1))/(INDEX($AA$4:$AA$7,MATCH(INDOOR_1,$Z$4:$Z$7))+INDEX($AA$4:$AA$7,MATCH(INDOOR_2,$Z$4:$Z$7))+INDEX($AA$4:$AA$7,MATCH(INDOOR_3,$Z$4:$Z$7))+INDEX($AA$4:$AA$7,MATCH(INDOOR_4,$Z$4:$Z$7))))))</f>
        <v>10.463111111111111</v>
      </c>
      <c r="AN119" s="167">
        <f t="shared" ref="AN119:AN136" ca="1" si="134">IF((INDEX($AA$4:$AA$7,MATCH(INDOOR_3,$Z$4:$Z$7))*(INDEX($X$27:$X$46,MATCH($AD119,$W$27:$W$46,1))/(INDEX($AA$4:$AA$7,MATCH(INDOOR_1,$Z$4:$Z$7))+INDEX($AA$4:$AA$7,MATCH(INDOOR_2,$Z$4:$Z$7))+INDEX($AA$4:$AA$7,MATCH(INDOOR_3,$Z$4:$Z$7))+INDEX($AA$4:$AA$7,MATCH(INDOOR_4,$Z$4:$Z$7)))))
&gt;AT119,AT119,
(INDEX($AA$4:$AA$7,MATCH(INDOOR_3,$Z$4:$Z$7))*(INDEX($X$27:$X$46,MATCH($AD119,$W$27:$W$46,1))/(INDEX($AA$4:$AA$7,MATCH(INDOOR_1,$Z$4:$Z$7))+INDEX($AA$4:$AA$7,MATCH(INDOOR_2,$Z$4:$Z$7))+INDEX($AA$4:$AA$7,MATCH(INDOOR_3,$Z$4:$Z$7))+INDEX($AA$4:$AA$7,MATCH(INDOOR_4,$Z$4:$Z$7))))))</f>
        <v>10.463111111111111</v>
      </c>
      <c r="AO119" s="167">
        <f t="shared" ref="AO119:AO136" ca="1" si="135">IF((INDEX($AA$4:$AA$7,MATCH(INDOOR_4,$Z$4:$Z$7))*(INDEX($X$27:$X$46,MATCH($AD119,$W$27:$W$46,1))/(INDEX($AA$4:$AA$7,MATCH(INDOOR_1,$Z$4:$Z$7))+INDEX($AA$4:$AA$7,MATCH(INDOOR_2,$Z$4:$Z$7))+INDEX($AA$4:$AA$7,MATCH(INDOOR_3,$Z$4:$Z$7))+INDEX($AA$4:$AA$7,MATCH(INDOOR_4,$Z$4:$Z$7)))))
&gt;AU119,AU119,
(INDEX($AA$4:$AA$7,MATCH(INDOOR_4,$Z$4:$Z$7))*(INDEX($X$27:$X$46,MATCH($AD119,$W$27:$W$46,1))/(INDEX($AA$4:$AA$7,MATCH(INDOOR_1,$Z$4:$Z$7))+INDEX($AA$4:$AA$7,MATCH(INDOOR_2,$Z$4:$Z$7))+INDEX($AA$4:$AA$7,MATCH(INDOOR_3,$Z$4:$Z$7))+INDEX($AA$4:$AA$7,MATCH(INDOOR_4,$Z$4:$Z$7))))))</f>
        <v>10.463111111111111</v>
      </c>
      <c r="AP119" s="178"/>
      <c r="AQ119" s="169">
        <f t="shared" ca="1" si="107"/>
        <v>41.852444444444444</v>
      </c>
      <c r="AR119" s="170">
        <f ca="1">INDEX('Cap based on indoor unit SZ'!$J$6:$J$21,MATCH(AE119,'Cap based on indoor unit SZ'!$I$6:$I$21))</f>
        <v>10.463111111111111</v>
      </c>
      <c r="AS119" s="170">
        <f ca="1">INDEX('Cap based on indoor unit SZ'!$J$6:$J$21,MATCH(AF119,'Cap based on indoor unit SZ'!$I$6:$I$21))</f>
        <v>10.463111111111111</v>
      </c>
      <c r="AT119" s="170">
        <f ca="1">INDEX('Cap based on indoor unit SZ'!$J$6:$J$21,MATCH(AG119,'Cap based on indoor unit SZ'!$I$6:$I$21))</f>
        <v>10.463111111111111</v>
      </c>
      <c r="AU119" s="170">
        <f ca="1">INDEX('Cap based on indoor unit SZ'!$J$6:$J$21,MATCH(AH119,'Cap based on indoor unit SZ'!$I$6:$I$21))</f>
        <v>10.463111111111111</v>
      </c>
      <c r="AV119" s="179"/>
      <c r="AW119" s="169">
        <f t="shared" si="108"/>
        <v>37</v>
      </c>
      <c r="AX119" s="170">
        <v>9.25</v>
      </c>
      <c r="AY119" s="170">
        <v>9.25</v>
      </c>
      <c r="AZ119" s="170">
        <v>9.25</v>
      </c>
      <c r="BA119" s="170">
        <v>9.25</v>
      </c>
      <c r="BB119" s="179"/>
      <c r="BC119" s="172">
        <f t="shared" ca="1" si="109"/>
        <v>45.37555555555555</v>
      </c>
      <c r="BD119" s="173">
        <f t="shared" ref="BD119:BG136" ca="1" si="136">(INDEX($AA$4:$AA$7,MATCH(AE119,$Z$4:$Z$7))*(INDEX($X$27:$X$46,MATCH($AD119,$W$27:$W$46,1))/(INDEX($AA$4:$AA$7,MATCH($AE119,$Z$4:$Z$7))+INDEX($AA$4:$AA$7,MATCH($AF119,$Z$4:$Z$7))+INDEX($AA$4:$AA$7,MATCH($AG119,$Z$4:$Z$7))+INDEX($AA$4:$AA$7,MATCH($AH119,$Z$4:$Z$7)))))</f>
        <v>11.343888888888888</v>
      </c>
      <c r="BE119" s="173">
        <f t="shared" ca="1" si="136"/>
        <v>11.343888888888888</v>
      </c>
      <c r="BF119" s="173">
        <f t="shared" ca="1" si="136"/>
        <v>11.343888888888888</v>
      </c>
      <c r="BG119" s="173">
        <f t="shared" ca="1" si="136"/>
        <v>11.343888888888888</v>
      </c>
      <c r="BH119" s="180"/>
      <c r="BI119" s="166">
        <f t="shared" ca="1" si="112"/>
        <v>47.824082051282048</v>
      </c>
      <c r="BJ119" s="167">
        <f t="shared" ref="BJ119:BJ136" ca="1" si="137">IF((INDEX($AA$4:$AA$7,MATCH(INDOOR_1,$Z$4:$Z$7))*(INDEX($X$118:$X$137,MATCH($AD119,$W$118:$W$137,1))/(INDEX($AA$4:$AA$7,MATCH(INDOOR_1,$Z$4:$Z$7))+INDEX($AA$4:$AA$7,MATCH(INDOOR_2,$Z$4:$Z$7))+INDEX($AA$4:$AA$7,MATCH(INDOOR_3,$Z$4:$Z$7))+INDEX($AA$4:$AA$7,MATCH(INDOOR_4,$Z$4:$Z$7)))))
&gt;BP119,BP119,
(INDEX($AA$4:$AA$7,MATCH(INDOOR_1,$Z$4:$Z$7))*(INDEX($X$118:$X$137,MATCH($AD119,$W$118:$W$137,1))/(INDEX($AA$4:$AA$7,MATCH(INDOOR_1,$Z$4:$Z$7))+INDEX($AA$4:$AA$7,MATCH(INDOOR_2,$Z$4:$Z$7))+INDEX($AA$4:$AA$7,MATCH(INDOOR_3,$Z$4:$Z$7))+INDEX($AA$4:$AA$7,MATCH(INDOOR_4,$Z$4:$Z$7))))))</f>
        <v>11.956020512820512</v>
      </c>
      <c r="BK119" s="167">
        <f t="shared" ref="BK119:BK136" ca="1" si="138">IF((INDEX($AA$4:$AA$7,MATCH(INDOOR_2,$Z$4:$Z$7))*(INDEX($X$118:$X$137,MATCH($AD119,$W$118:$W$137,1))/(INDEX($AA$4:$AA$7,MATCH(INDOOR_1,$Z$4:$Z$7))+INDEX($AA$4:$AA$7,MATCH(INDOOR_2,$Z$4:$Z$7))+INDEX($AA$4:$AA$7,MATCH(INDOOR_3,$Z$4:$Z$7))+INDEX($AA$4:$AA$7,MATCH(INDOOR_4,$Z$4:$Z$7)))))
&gt;BQ119,BQ119,
(INDEX($AA$4:$AA$7,MATCH(INDOOR_2,$Z$4:$Z$7))*(INDEX($X$118:$X$137,MATCH($AD119,$W$118:$W$137,1))/(INDEX($AA$4:$AA$7,MATCH(INDOOR_1,$Z$4:$Z$7))+INDEX($AA$4:$AA$7,MATCH(INDOOR_2,$Z$4:$Z$7))+INDEX($AA$4:$AA$7,MATCH(INDOOR_3,$Z$4:$Z$7))+INDEX($AA$4:$AA$7,MATCH(INDOOR_4,$Z$4:$Z$7))))))</f>
        <v>11.956020512820512</v>
      </c>
      <c r="BL119" s="167">
        <f t="shared" ref="BL119:BL136" ca="1" si="139">IF((INDEX($AA$4:$AA$7,MATCH(INDOOR_3,$Z$4:$Z$7))*(INDEX($X$118:$X$137,MATCH($AD119,$W$118:$W$137,1))/(INDEX($AA$4:$AA$7,MATCH(INDOOR_1,$Z$4:$Z$7))+INDEX($AA$4:$AA$7,MATCH(INDOOR_2,$Z$4:$Z$7))+INDEX($AA$4:$AA$7,MATCH(INDOOR_3,$Z$4:$Z$7))+INDEX($AA$4:$AA$7,MATCH(INDOOR_4,$Z$4:$Z$7)))))
&gt;BR119,BR119,
(INDEX($AA$4:$AA$7,MATCH(INDOOR_3,$Z$4:$Z$7))*(INDEX($X$118:$X$137,MATCH($AD119,$W$118:$W$137,1))/(INDEX($AA$4:$AA$7,MATCH(INDOOR_1,$Z$4:$Z$7))+INDEX($AA$4:$AA$7,MATCH(INDOOR_2,$Z$4:$Z$7))+INDEX($AA$4:$AA$7,MATCH(INDOOR_3,$Z$4:$Z$7))+INDEX($AA$4:$AA$7,MATCH(INDOOR_4,$Z$4:$Z$7))))))</f>
        <v>11.956020512820512</v>
      </c>
      <c r="BM119" s="167">
        <f t="shared" ref="BM119:BM136" ca="1" si="140">IF((INDEX($AA$4:$AA$7,MATCH(INDOOR_4,$Z$4:$Z$7))*(INDEX($X$118:$X$137,MATCH($AD119,$W$118:$W$137,1))/(INDEX($AA$4:$AA$7,MATCH(INDOOR_1,$Z$4:$Z$7))+INDEX($AA$4:$AA$7,MATCH(INDOOR_2,$Z$4:$Z$7))+INDEX($AA$4:$AA$7,MATCH(INDOOR_3,$Z$4:$Z$7))+INDEX($AA$4:$AA$7,MATCH(INDOOR_4,$Z$4:$Z$7)))))
&gt;BS119,BS119,
(INDEX($AA$4:$AA$7,MATCH(INDOOR_4,$Z$4:$Z$7))*(INDEX($X$118:$X$137,MATCH($AD119,$W$118:$W$137,1))/(INDEX($AA$4:$AA$7,MATCH(INDOOR_1,$Z$4:$Z$7))+INDEX($AA$4:$AA$7,MATCH(INDOOR_2,$Z$4:$Z$7))+INDEX($AA$4:$AA$7,MATCH(INDOOR_3,$Z$4:$Z$7))+INDEX($AA$4:$AA$7,MATCH(INDOOR_4,$Z$4:$Z$7))))))</f>
        <v>11.956020512820512</v>
      </c>
      <c r="BN119" s="178"/>
      <c r="BO119" s="169">
        <f t="shared" ca="1" si="115"/>
        <v>47.824082051282048</v>
      </c>
      <c r="BP119" s="170">
        <f ca="1">INDEX('Cap based on indoor unit SZ'!$V$43:$V$58,MATCH(AE119,'Cap based on indoor unit SZ'!$U$43:$U$58))</f>
        <v>11.956020512820512</v>
      </c>
      <c r="BQ119" s="170">
        <f ca="1">INDEX('Cap based on indoor unit SZ'!$V$43:$V$58,MATCH(AF119,'Cap based on indoor unit SZ'!$U$43:$U$58))</f>
        <v>11.956020512820512</v>
      </c>
      <c r="BR119" s="170">
        <f ca="1">INDEX('Cap based on indoor unit SZ'!$V$43:$V$58,MATCH(AG119,'Cap based on indoor unit SZ'!$U$43:$U$58))</f>
        <v>11.956020512820512</v>
      </c>
      <c r="BS119" s="170">
        <f ca="1">INDEX('Cap based on indoor unit SZ'!$V$43:$V$58,MATCH(AH119,'Cap based on indoor unit SZ'!$U$43:$U$58))</f>
        <v>11.956020512820512</v>
      </c>
      <c r="BT119" s="179"/>
      <c r="BU119" s="175">
        <v>9500</v>
      </c>
      <c r="BV119" s="175">
        <v>9500</v>
      </c>
      <c r="BW119" s="175">
        <v>9500</v>
      </c>
      <c r="BX119" s="175">
        <v>9500</v>
      </c>
      <c r="BY119" s="179"/>
      <c r="BZ119" s="172">
        <f t="shared" ca="1" si="116"/>
        <v>54.037760683760688</v>
      </c>
      <c r="CA119" s="173">
        <f t="shared" ref="CA119:CA136" ca="1" si="141">(INDEX($AA$4:$AA$7,MATCH(INDOOR_1,$Z$4:$Z$7))*(INDEX($X$118:$X$137,MATCH($AD119,$W$118:$W$137,1))/(INDEX($AA$4:$AA$7,MATCH(INDOOR_1,$Z$4:$Z$7))+INDEX($AA$4:$AA$7,MATCH(INDOOR_2,$Z$4:$Z$7))+INDEX($AA$4:$AA$7,MATCH(INDOOR_3,$Z$4:$Z$7))+INDEX($AA$4:$AA$7,MATCH(INDOOR_4,$Z$4:$Z$7)))))</f>
        <v>13.509440170940172</v>
      </c>
      <c r="CB119" s="173">
        <f t="shared" ref="CB119:CB136" ca="1" si="142">(INDEX($AA$4:$AA$7,MATCH(INDOOR_2,$Z$4:$Z$7))*(INDEX($X$118:$X$137,MATCH($AD119,$W$118:$W$137,1))/(INDEX($AA$4:$AA$7,MATCH(INDOOR_1,$Z$4:$Z$7))+INDEX($AA$4:$AA$7,MATCH(INDOOR_2,$Z$4:$Z$7))+INDEX($AA$4:$AA$7,MATCH(INDOOR_3,$Z$4:$Z$7))+INDEX($AA$4:$AA$7,MATCH(INDOOR_4,$Z$4:$Z$7)))))</f>
        <v>13.509440170940172</v>
      </c>
      <c r="CC119" s="173">
        <f t="shared" ref="CC119:CC136" ca="1" si="143">(INDEX($AA$4:$AA$7,MATCH(INDOOR_3,$Z$4:$Z$7))*(INDEX($X$118:$X$137,MATCH($AD119,$W$118:$W$137,1))/(INDEX($AA$4:$AA$7,MATCH(INDOOR_1,$Z$4:$Z$7))+INDEX($AA$4:$AA$7,MATCH(INDOOR_2,$Z$4:$Z$7))+INDEX($AA$4:$AA$7,MATCH(INDOOR_3,$Z$4:$Z$7))+INDEX($AA$4:$AA$7,MATCH(INDOOR_4,$Z$4:$Z$7)))))</f>
        <v>13.509440170940172</v>
      </c>
      <c r="CD119" s="173">
        <f t="shared" ref="CD119:CD136" ca="1" si="144">(INDEX($AA$4:$AA$7,MATCH(INDOOR_4,$Z$4:$Z$7))*(INDEX($X$118:$X$137,MATCH($AD119,$W$118:$W$137,1))/(INDEX($AA$4:$AA$7,MATCH(INDOOR_1,$Z$4:$Z$7))+INDEX($AA$4:$AA$7,MATCH(INDOOR_2,$Z$4:$Z$7))+INDEX($AA$4:$AA$7,MATCH(INDOOR_3,$Z$4:$Z$7))+INDEX($AA$4:$AA$7,MATCH(INDOOR_4,$Z$4:$Z$7)))))</f>
        <v>13.509440170940172</v>
      </c>
      <c r="CE119" s="180"/>
      <c r="CF119" s="166">
        <f t="shared" ca="1" si="119"/>
        <v>31.949106314682307</v>
      </c>
      <c r="CG119" s="167">
        <f t="shared" ca="1" si="120"/>
        <v>7.9872765786705768</v>
      </c>
      <c r="CH119" s="167">
        <f t="shared" ca="1" si="120"/>
        <v>7.9872765786705768</v>
      </c>
      <c r="CI119" s="167">
        <f t="shared" ca="1" si="120"/>
        <v>7.9872765786705768</v>
      </c>
      <c r="CJ119" s="167">
        <f t="shared" ca="1" si="120"/>
        <v>7.9872765786705768</v>
      </c>
      <c r="CK119" s="178"/>
    </row>
    <row r="120" spans="2:89">
      <c r="B120" s="284">
        <v>18</v>
      </c>
      <c r="C120" s="289">
        <v>69</v>
      </c>
      <c r="D120" s="290"/>
      <c r="E120" s="8" t="s">
        <v>15</v>
      </c>
      <c r="F120" s="9">
        <v>5.31</v>
      </c>
      <c r="G120" s="2">
        <v>6.16</v>
      </c>
      <c r="H120" s="2">
        <v>7.02</v>
      </c>
      <c r="I120" s="2">
        <v>8.1300000000000008</v>
      </c>
      <c r="J120" s="2">
        <v>14.4</v>
      </c>
      <c r="K120" s="2">
        <v>13.39</v>
      </c>
      <c r="L120" s="2">
        <v>13.48</v>
      </c>
      <c r="M120" s="2">
        <v>16.579999999999998</v>
      </c>
      <c r="N120" s="2">
        <v>17.86</v>
      </c>
      <c r="O120" s="2">
        <v>18.05</v>
      </c>
      <c r="P120" s="2">
        <v>20.6</v>
      </c>
      <c r="Q120" s="2">
        <v>20.09</v>
      </c>
      <c r="R120" s="203">
        <f t="shared" ca="1" si="131"/>
        <v>20.577333333333332</v>
      </c>
      <c r="S120" s="145"/>
      <c r="T120" s="145"/>
      <c r="U120" s="146" t="s">
        <v>97</v>
      </c>
      <c r="V120" s="147">
        <f ca="1">TREND(R118:R121,C118:C121,INDOOR_HEAT_DB)</f>
        <v>20.75788216806885</v>
      </c>
      <c r="W120" s="145"/>
      <c r="X120" s="152"/>
      <c r="AC120" s="164" t="s">
        <v>161</v>
      </c>
      <c r="AD120" s="164">
        <v>48</v>
      </c>
      <c r="AE120" s="165">
        <v>9</v>
      </c>
      <c r="AF120" s="165">
        <v>9</v>
      </c>
      <c r="AG120" s="165">
        <v>9</v>
      </c>
      <c r="AH120" s="165">
        <v>12</v>
      </c>
      <c r="AI120" s="165"/>
      <c r="AJ120" s="501"/>
      <c r="AK120" s="166">
        <f t="shared" ca="1" si="104"/>
        <v>44.468222222222224</v>
      </c>
      <c r="AL120" s="167">
        <f t="shared" ca="1" si="132"/>
        <v>10.463111111111111</v>
      </c>
      <c r="AM120" s="167">
        <f t="shared" ca="1" si="133"/>
        <v>10.463111111111111</v>
      </c>
      <c r="AN120" s="167">
        <f t="shared" ca="1" si="134"/>
        <v>10.463111111111111</v>
      </c>
      <c r="AO120" s="167">
        <f t="shared" ca="1" si="135"/>
        <v>13.078888888888891</v>
      </c>
      <c r="AP120" s="178"/>
      <c r="AQ120" s="169">
        <f t="shared" ca="1" si="107"/>
        <v>44.468222222222224</v>
      </c>
      <c r="AR120" s="170">
        <f ca="1">INDEX('Cap based on indoor unit SZ'!$J$6:$J$21,MATCH(AE120,'Cap based on indoor unit SZ'!$I$6:$I$21))</f>
        <v>10.463111111111111</v>
      </c>
      <c r="AS120" s="170">
        <f ca="1">INDEX('Cap based on indoor unit SZ'!$J$6:$J$21,MATCH(AF120,'Cap based on indoor unit SZ'!$I$6:$I$21))</f>
        <v>10.463111111111111</v>
      </c>
      <c r="AT120" s="170">
        <f ca="1">INDEX('Cap based on indoor unit SZ'!$J$6:$J$21,MATCH(AG120,'Cap based on indoor unit SZ'!$I$6:$I$21))</f>
        <v>10.463111111111111</v>
      </c>
      <c r="AU120" s="170">
        <f ca="1">INDEX('Cap based on indoor unit SZ'!$J$6:$J$21,MATCH(AH120,'Cap based on indoor unit SZ'!$I$6:$I$21))</f>
        <v>13.078888888888891</v>
      </c>
      <c r="AV120" s="179"/>
      <c r="AW120" s="169">
        <f t="shared" si="108"/>
        <v>39</v>
      </c>
      <c r="AX120" s="170">
        <v>9</v>
      </c>
      <c r="AY120" s="170">
        <v>9</v>
      </c>
      <c r="AZ120" s="170">
        <v>9</v>
      </c>
      <c r="BA120" s="170">
        <v>12</v>
      </c>
      <c r="BB120" s="179"/>
      <c r="BC120" s="172">
        <f t="shared" ca="1" si="109"/>
        <v>45.37555555555555</v>
      </c>
      <c r="BD120" s="173">
        <f t="shared" ca="1" si="136"/>
        <v>10.471282051282051</v>
      </c>
      <c r="BE120" s="173">
        <f t="shared" ca="1" si="136"/>
        <v>10.471282051282051</v>
      </c>
      <c r="BF120" s="173">
        <f t="shared" ca="1" si="136"/>
        <v>10.471282051282051</v>
      </c>
      <c r="BG120" s="173">
        <f t="shared" ca="1" si="136"/>
        <v>13.961709401709401</v>
      </c>
      <c r="BH120" s="180"/>
      <c r="BI120" s="166">
        <f t="shared" ca="1" si="112"/>
        <v>50.813087179487169</v>
      </c>
      <c r="BJ120" s="167">
        <f t="shared" ca="1" si="137"/>
        <v>11.956020512820512</v>
      </c>
      <c r="BK120" s="167">
        <f t="shared" ca="1" si="138"/>
        <v>11.956020512820512</v>
      </c>
      <c r="BL120" s="167">
        <f t="shared" ca="1" si="139"/>
        <v>11.956020512820512</v>
      </c>
      <c r="BM120" s="167">
        <f t="shared" ca="1" si="140"/>
        <v>14.945025641025641</v>
      </c>
      <c r="BN120" s="178"/>
      <c r="BO120" s="169">
        <f t="shared" ca="1" si="115"/>
        <v>50.813087179487169</v>
      </c>
      <c r="BP120" s="170">
        <f ca="1">INDEX('Cap based on indoor unit SZ'!$V$43:$V$58,MATCH(AE120,'Cap based on indoor unit SZ'!$U$43:$U$58))</f>
        <v>11.956020512820512</v>
      </c>
      <c r="BQ120" s="170">
        <f ca="1">INDEX('Cap based on indoor unit SZ'!$V$43:$V$58,MATCH(AF120,'Cap based on indoor unit SZ'!$U$43:$U$58))</f>
        <v>11.956020512820512</v>
      </c>
      <c r="BR120" s="170">
        <f ca="1">INDEX('Cap based on indoor unit SZ'!$V$43:$V$58,MATCH(AG120,'Cap based on indoor unit SZ'!$U$43:$U$58))</f>
        <v>11.956020512820512</v>
      </c>
      <c r="BS120" s="170">
        <f ca="1">INDEX('Cap based on indoor unit SZ'!$V$43:$V$58,MATCH(AH120,'Cap based on indoor unit SZ'!$U$43:$U$58))</f>
        <v>14.945025641025641</v>
      </c>
      <c r="BT120" s="179"/>
      <c r="BU120" s="175">
        <v>9500</v>
      </c>
      <c r="BV120" s="175">
        <v>9500</v>
      </c>
      <c r="BW120" s="175">
        <v>9500</v>
      </c>
      <c r="BX120" s="175">
        <v>12500</v>
      </c>
      <c r="BY120" s="179"/>
      <c r="BZ120" s="172">
        <f t="shared" ca="1" si="116"/>
        <v>54.037760683760695</v>
      </c>
      <c r="CA120" s="173">
        <f t="shared" ca="1" si="141"/>
        <v>12.470252465483236</v>
      </c>
      <c r="CB120" s="173">
        <f t="shared" ca="1" si="142"/>
        <v>12.470252465483236</v>
      </c>
      <c r="CC120" s="173">
        <f t="shared" ca="1" si="143"/>
        <v>12.470252465483236</v>
      </c>
      <c r="CD120" s="173">
        <f t="shared" ca="1" si="144"/>
        <v>16.627003287310981</v>
      </c>
      <c r="CE120" s="180"/>
      <c r="CF120" s="166">
        <f t="shared" ca="1" si="119"/>
        <v>33.945925459349951</v>
      </c>
      <c r="CG120" s="167">
        <f t="shared" ca="1" si="120"/>
        <v>7.9872765786705768</v>
      </c>
      <c r="CH120" s="167">
        <f t="shared" ca="1" si="120"/>
        <v>7.9872765786705768</v>
      </c>
      <c r="CI120" s="167">
        <f t="shared" ca="1" si="120"/>
        <v>7.9872765786705768</v>
      </c>
      <c r="CJ120" s="167">
        <f t="shared" ca="1" si="120"/>
        <v>9.984095723338223</v>
      </c>
      <c r="CK120" s="178"/>
    </row>
    <row r="121" spans="2:89" ht="14.4" thickBot="1">
      <c r="B121" s="284">
        <v>18</v>
      </c>
      <c r="C121" s="285">
        <v>71.599999999999994</v>
      </c>
      <c r="D121" s="286"/>
      <c r="E121" s="8" t="s">
        <v>15</v>
      </c>
      <c r="F121" s="9">
        <v>5.23</v>
      </c>
      <c r="G121" s="2">
        <v>6.07</v>
      </c>
      <c r="H121" s="2">
        <v>6.91</v>
      </c>
      <c r="I121" s="2">
        <v>8.01</v>
      </c>
      <c r="J121" s="2">
        <v>13.56</v>
      </c>
      <c r="K121" s="2">
        <v>13.19</v>
      </c>
      <c r="L121" s="2">
        <v>13.28</v>
      </c>
      <c r="M121" s="2">
        <v>16.329999999999998</v>
      </c>
      <c r="N121" s="2">
        <v>17.59</v>
      </c>
      <c r="O121" s="2">
        <v>17.78</v>
      </c>
      <c r="P121" s="2">
        <v>20.29</v>
      </c>
      <c r="Q121" s="2">
        <v>19.79</v>
      </c>
      <c r="R121" s="211">
        <f t="shared" ca="1" si="131"/>
        <v>20.267777777777777</v>
      </c>
      <c r="S121" s="145"/>
      <c r="T121" s="145"/>
      <c r="U121" s="146"/>
      <c r="V121" s="149"/>
      <c r="W121" s="145"/>
      <c r="X121" s="152"/>
      <c r="AC121" s="164" t="s">
        <v>160</v>
      </c>
      <c r="AD121" s="164">
        <v>48</v>
      </c>
      <c r="AE121" s="165">
        <v>9</v>
      </c>
      <c r="AF121" s="165">
        <v>9</v>
      </c>
      <c r="AG121" s="165">
        <v>9</v>
      </c>
      <c r="AH121" s="165">
        <v>18</v>
      </c>
      <c r="AI121" s="165"/>
      <c r="AJ121" s="501"/>
      <c r="AK121" s="166">
        <f t="shared" ca="1" si="104"/>
        <v>45.37555555555555</v>
      </c>
      <c r="AL121" s="167">
        <f t="shared" ca="1" si="132"/>
        <v>9.0751111111111094</v>
      </c>
      <c r="AM121" s="167">
        <f t="shared" ca="1" si="133"/>
        <v>9.0751111111111094</v>
      </c>
      <c r="AN121" s="167">
        <f t="shared" ca="1" si="134"/>
        <v>9.0751111111111094</v>
      </c>
      <c r="AO121" s="167">
        <f t="shared" ca="1" si="135"/>
        <v>18.150222222222219</v>
      </c>
      <c r="AP121" s="178"/>
      <c r="AQ121" s="169">
        <f t="shared" ca="1" si="107"/>
        <v>51.210444444444448</v>
      </c>
      <c r="AR121" s="170">
        <f ca="1">INDEX('Cap based on indoor unit SZ'!$J$6:$J$21,MATCH(AE121,'Cap based on indoor unit SZ'!$I$6:$I$21))</f>
        <v>10.463111111111111</v>
      </c>
      <c r="AS121" s="170">
        <f ca="1">INDEX('Cap based on indoor unit SZ'!$J$6:$J$21,MATCH(AF121,'Cap based on indoor unit SZ'!$I$6:$I$21))</f>
        <v>10.463111111111111</v>
      </c>
      <c r="AT121" s="170">
        <f ca="1">INDEX('Cap based on indoor unit SZ'!$J$6:$J$21,MATCH(AG121,'Cap based on indoor unit SZ'!$I$6:$I$21))</f>
        <v>10.463111111111111</v>
      </c>
      <c r="AU121" s="170">
        <f ca="1">INDEX('Cap based on indoor unit SZ'!$J$6:$J$21,MATCH(AH121,'Cap based on indoor unit SZ'!$I$6:$I$21))</f>
        <v>19.821111111111112</v>
      </c>
      <c r="AV121" s="179"/>
      <c r="AW121" s="169">
        <f t="shared" si="108"/>
        <v>44</v>
      </c>
      <c r="AX121" s="170">
        <v>9</v>
      </c>
      <c r="AY121" s="170">
        <v>9</v>
      </c>
      <c r="AZ121" s="170">
        <v>9</v>
      </c>
      <c r="BA121" s="170">
        <v>17</v>
      </c>
      <c r="BB121" s="179"/>
      <c r="BC121" s="172">
        <f t="shared" ca="1" si="109"/>
        <v>45.37555555555555</v>
      </c>
      <c r="BD121" s="173">
        <f t="shared" ca="1" si="136"/>
        <v>9.0751111111111094</v>
      </c>
      <c r="BE121" s="173">
        <f t="shared" ca="1" si="136"/>
        <v>9.0751111111111094</v>
      </c>
      <c r="BF121" s="173">
        <f t="shared" ca="1" si="136"/>
        <v>9.0751111111111094</v>
      </c>
      <c r="BG121" s="173">
        <f t="shared" ca="1" si="136"/>
        <v>18.150222222222219</v>
      </c>
      <c r="BH121" s="180"/>
      <c r="BI121" s="166">
        <f t="shared" ca="1" si="112"/>
        <v>54.037760683760695</v>
      </c>
      <c r="BJ121" s="167">
        <f t="shared" ca="1" si="137"/>
        <v>10.807552136752138</v>
      </c>
      <c r="BK121" s="167">
        <f t="shared" ca="1" si="138"/>
        <v>10.807552136752138</v>
      </c>
      <c r="BL121" s="167">
        <f t="shared" ca="1" si="139"/>
        <v>10.807552136752138</v>
      </c>
      <c r="BM121" s="167">
        <f t="shared" ca="1" si="140"/>
        <v>21.615104273504276</v>
      </c>
      <c r="BN121" s="178"/>
      <c r="BO121" s="169">
        <f t="shared" ca="1" si="115"/>
        <v>60.466882051282042</v>
      </c>
      <c r="BP121" s="170">
        <f ca="1">INDEX('Cap based on indoor unit SZ'!$V$43:$V$58,MATCH(AE121,'Cap based on indoor unit SZ'!$U$43:$U$58))</f>
        <v>11.956020512820512</v>
      </c>
      <c r="BQ121" s="170">
        <f ca="1">INDEX('Cap based on indoor unit SZ'!$V$43:$V$58,MATCH(AF121,'Cap based on indoor unit SZ'!$U$43:$U$58))</f>
        <v>11.956020512820512</v>
      </c>
      <c r="BR121" s="170">
        <f ca="1">INDEX('Cap based on indoor unit SZ'!$V$43:$V$58,MATCH(AG121,'Cap based on indoor unit SZ'!$U$43:$U$58))</f>
        <v>11.956020512820512</v>
      </c>
      <c r="BS121" s="170">
        <f ca="1">INDEX('Cap based on indoor unit SZ'!$V$43:$V$58,MATCH(AH121,'Cap based on indoor unit SZ'!$U$43:$U$58))</f>
        <v>24.598820512820513</v>
      </c>
      <c r="BT121" s="179"/>
      <c r="BU121" s="175">
        <v>9500</v>
      </c>
      <c r="BV121" s="175">
        <v>9500</v>
      </c>
      <c r="BW121" s="175">
        <v>9500</v>
      </c>
      <c r="BX121" s="175">
        <v>17500</v>
      </c>
      <c r="BY121" s="179"/>
      <c r="BZ121" s="172">
        <f t="shared" ca="1" si="116"/>
        <v>54.037760683760695</v>
      </c>
      <c r="CA121" s="173">
        <f t="shared" ca="1" si="141"/>
        <v>10.807552136752138</v>
      </c>
      <c r="CB121" s="173">
        <f t="shared" ca="1" si="142"/>
        <v>10.807552136752138</v>
      </c>
      <c r="CC121" s="173">
        <f t="shared" ca="1" si="143"/>
        <v>10.807552136752138</v>
      </c>
      <c r="CD121" s="173">
        <f t="shared" ca="1" si="144"/>
        <v>21.615104273504276</v>
      </c>
      <c r="CE121" s="180"/>
      <c r="CF121" s="166">
        <f t="shared" ca="1" si="119"/>
        <v>34.638560967605656</v>
      </c>
      <c r="CG121" s="167">
        <f t="shared" ca="1" si="120"/>
        <v>6.9277121935211312</v>
      </c>
      <c r="CH121" s="167">
        <f t="shared" ca="1" si="120"/>
        <v>6.9277121935211312</v>
      </c>
      <c r="CI121" s="167">
        <f t="shared" ca="1" si="120"/>
        <v>6.9277121935211312</v>
      </c>
      <c r="CJ121" s="167">
        <f t="shared" ca="1" si="120"/>
        <v>13.855424387042262</v>
      </c>
      <c r="CK121" s="178"/>
    </row>
    <row r="122" spans="2:89">
      <c r="B122" s="283">
        <v>24</v>
      </c>
      <c r="C122" s="287">
        <v>59</v>
      </c>
      <c r="D122" s="288"/>
      <c r="E122" s="8" t="s">
        <v>15</v>
      </c>
      <c r="F122" s="9">
        <v>13.95</v>
      </c>
      <c r="G122" s="2">
        <v>17.73</v>
      </c>
      <c r="H122" s="2">
        <v>20</v>
      </c>
      <c r="I122" s="2">
        <v>22.45</v>
      </c>
      <c r="J122" s="2">
        <v>23.85</v>
      </c>
      <c r="K122" s="2">
        <v>25.34</v>
      </c>
      <c r="L122" s="2">
        <v>25.72</v>
      </c>
      <c r="M122" s="2">
        <v>27.96</v>
      </c>
      <c r="N122" s="2">
        <v>30.05</v>
      </c>
      <c r="O122" s="2">
        <v>31.82</v>
      </c>
      <c r="P122" s="2">
        <v>36.46</v>
      </c>
      <c r="Q122" s="2">
        <v>40.369999999999997</v>
      </c>
      <c r="R122" s="195">
        <f t="shared" ca="1" si="131"/>
        <v>36.63377777777778</v>
      </c>
      <c r="S122" s="145"/>
      <c r="T122" s="145"/>
      <c r="U122" s="146" t="s">
        <v>96</v>
      </c>
      <c r="V122" s="147">
        <f ca="1">FORECAST(INDOOR_HEAT_DB,OFFSET(R122:R125,MATCH(INDOOR_HEAT_DB,C122:C125,1)-1,0,2),OFFSET(C122:C125,MATCH(INDOOR_HEAT_DB,C122:C125,1)-1,0,2))</f>
        <v>35.762119658119651</v>
      </c>
      <c r="W122" s="145">
        <f>B122</f>
        <v>24</v>
      </c>
      <c r="X122" s="147">
        <f ca="1">IF(OR(INDOOR_HEAT_DB&lt;C122,INDOOR_HEAT_DB&gt;C125),V124,V122)</f>
        <v>35.762119658119651</v>
      </c>
      <c r="AC122" s="164" t="s">
        <v>159</v>
      </c>
      <c r="AD122" s="164">
        <v>48</v>
      </c>
      <c r="AE122" s="165">
        <v>9</v>
      </c>
      <c r="AF122" s="165">
        <v>9</v>
      </c>
      <c r="AG122" s="165">
        <v>9</v>
      </c>
      <c r="AH122" s="165">
        <v>24</v>
      </c>
      <c r="AI122" s="165"/>
      <c r="AJ122" s="501"/>
      <c r="AK122" s="166">
        <f t="shared" ca="1" si="104"/>
        <v>45.375555555555557</v>
      </c>
      <c r="AL122" s="167">
        <f t="shared" ca="1" si="132"/>
        <v>8.0074509803921572</v>
      </c>
      <c r="AM122" s="167">
        <f t="shared" ca="1" si="133"/>
        <v>8.0074509803921572</v>
      </c>
      <c r="AN122" s="167">
        <f t="shared" ca="1" si="134"/>
        <v>8.0074509803921572</v>
      </c>
      <c r="AO122" s="167">
        <f t="shared" ca="1" si="135"/>
        <v>21.353202614379086</v>
      </c>
      <c r="AP122" s="178"/>
      <c r="AQ122" s="169">
        <f t="shared" ca="1" si="107"/>
        <v>55.841555555555551</v>
      </c>
      <c r="AR122" s="170">
        <f ca="1">INDEX('Cap based on indoor unit SZ'!$J$6:$J$21,MATCH(AE122,'Cap based on indoor unit SZ'!$I$6:$I$21))</f>
        <v>10.463111111111111</v>
      </c>
      <c r="AS122" s="170">
        <f ca="1">INDEX('Cap based on indoor unit SZ'!$J$6:$J$21,MATCH(AF122,'Cap based on indoor unit SZ'!$I$6:$I$21))</f>
        <v>10.463111111111111</v>
      </c>
      <c r="AT122" s="170">
        <f ca="1">INDEX('Cap based on indoor unit SZ'!$J$6:$J$21,MATCH(AG122,'Cap based on indoor unit SZ'!$I$6:$I$21))</f>
        <v>10.463111111111111</v>
      </c>
      <c r="AU122" s="170">
        <f ca="1">INDEX('Cap based on indoor unit SZ'!$J$6:$J$21,MATCH(AH122,'Cap based on indoor unit SZ'!$I$6:$I$21))</f>
        <v>24.452222222222218</v>
      </c>
      <c r="AV122" s="179"/>
      <c r="AW122" s="169">
        <f t="shared" si="108"/>
        <v>46</v>
      </c>
      <c r="AX122" s="170">
        <v>8.5</v>
      </c>
      <c r="AY122" s="170">
        <v>8.5</v>
      </c>
      <c r="AZ122" s="170">
        <v>8.5</v>
      </c>
      <c r="BA122" s="170">
        <v>20.5</v>
      </c>
      <c r="BB122" s="179"/>
      <c r="BC122" s="172">
        <f t="shared" ca="1" si="109"/>
        <v>45.375555555555557</v>
      </c>
      <c r="BD122" s="173">
        <f t="shared" ca="1" si="136"/>
        <v>8.0074509803921572</v>
      </c>
      <c r="BE122" s="173">
        <f t="shared" ca="1" si="136"/>
        <v>8.0074509803921572</v>
      </c>
      <c r="BF122" s="173">
        <f t="shared" ca="1" si="136"/>
        <v>8.0074509803921572</v>
      </c>
      <c r="BG122" s="173">
        <f t="shared" ca="1" si="136"/>
        <v>21.353202614379086</v>
      </c>
      <c r="BH122" s="180"/>
      <c r="BI122" s="166">
        <f t="shared" ca="1" si="112"/>
        <v>54.037760683760695</v>
      </c>
      <c r="BJ122" s="167">
        <f t="shared" ca="1" si="137"/>
        <v>9.5360754147812994</v>
      </c>
      <c r="BK122" s="167">
        <f t="shared" ca="1" si="138"/>
        <v>9.5360754147812994</v>
      </c>
      <c r="BL122" s="167">
        <f t="shared" ca="1" si="139"/>
        <v>9.5360754147812994</v>
      </c>
      <c r="BM122" s="167">
        <f t="shared" ca="1" si="140"/>
        <v>25.429534439416798</v>
      </c>
      <c r="BN122" s="178"/>
      <c r="BO122" s="169">
        <f t="shared" ca="1" si="115"/>
        <v>66.158061538461538</v>
      </c>
      <c r="BP122" s="170">
        <f ca="1">INDEX('Cap based on indoor unit SZ'!$V$43:$V$58,MATCH(AE122,'Cap based on indoor unit SZ'!$U$43:$U$58))</f>
        <v>11.956020512820512</v>
      </c>
      <c r="BQ122" s="170">
        <f ca="1">INDEX('Cap based on indoor unit SZ'!$V$43:$V$58,MATCH(AF122,'Cap based on indoor unit SZ'!$U$43:$U$58))</f>
        <v>11.956020512820512</v>
      </c>
      <c r="BR122" s="170">
        <f ca="1">INDEX('Cap based on indoor unit SZ'!$V$43:$V$58,MATCH(AG122,'Cap based on indoor unit SZ'!$U$43:$U$58))</f>
        <v>11.956020512820512</v>
      </c>
      <c r="BS122" s="170">
        <f ca="1">INDEX('Cap based on indoor unit SZ'!$V$43:$V$58,MATCH(AH122,'Cap based on indoor unit SZ'!$U$43:$U$58))</f>
        <v>30.290000000000003</v>
      </c>
      <c r="BT122" s="179"/>
      <c r="BU122" s="175">
        <v>9000</v>
      </c>
      <c r="BV122" s="175">
        <v>9000</v>
      </c>
      <c r="BW122" s="175">
        <v>9000</v>
      </c>
      <c r="BX122" s="175">
        <v>21000</v>
      </c>
      <c r="BY122" s="179"/>
      <c r="BZ122" s="172">
        <f t="shared" ca="1" si="116"/>
        <v>54.037760683760695</v>
      </c>
      <c r="CA122" s="173">
        <f t="shared" ca="1" si="141"/>
        <v>9.5360754147812994</v>
      </c>
      <c r="CB122" s="173">
        <f t="shared" ca="1" si="142"/>
        <v>9.5360754147812994</v>
      </c>
      <c r="CC122" s="173">
        <f t="shared" ca="1" si="143"/>
        <v>9.5360754147812994</v>
      </c>
      <c r="CD122" s="173">
        <f t="shared" ca="1" si="144"/>
        <v>25.429534439416798</v>
      </c>
      <c r="CE122" s="180"/>
      <c r="CF122" s="166">
        <f t="shared" ca="1" si="119"/>
        <v>34.638560967605663</v>
      </c>
      <c r="CG122" s="167">
        <f t="shared" ca="1" si="120"/>
        <v>6.1126872295774701</v>
      </c>
      <c r="CH122" s="167">
        <f t="shared" ca="1" si="120"/>
        <v>6.1126872295774701</v>
      </c>
      <c r="CI122" s="167">
        <f t="shared" ca="1" si="120"/>
        <v>6.1126872295774701</v>
      </c>
      <c r="CJ122" s="167">
        <f t="shared" ca="1" si="120"/>
        <v>16.300499278873254</v>
      </c>
      <c r="CK122" s="178"/>
    </row>
    <row r="123" spans="2:89">
      <c r="B123" s="283">
        <v>24</v>
      </c>
      <c r="C123" s="289">
        <v>64.400000000000006</v>
      </c>
      <c r="D123" s="290"/>
      <c r="E123" s="8" t="s">
        <v>15</v>
      </c>
      <c r="F123" s="9">
        <v>13.78</v>
      </c>
      <c r="G123" s="2">
        <v>17.510000000000002</v>
      </c>
      <c r="H123" s="2">
        <v>19.75</v>
      </c>
      <c r="I123" s="2">
        <v>22.17</v>
      </c>
      <c r="J123" s="2">
        <v>23.55</v>
      </c>
      <c r="K123" s="2">
        <v>25.03</v>
      </c>
      <c r="L123" s="2">
        <v>25.4</v>
      </c>
      <c r="M123" s="2">
        <v>27.61</v>
      </c>
      <c r="N123" s="2">
        <v>29.75</v>
      </c>
      <c r="O123" s="2">
        <v>31.49</v>
      </c>
      <c r="P123" s="2">
        <v>35.92</v>
      </c>
      <c r="Q123" s="2">
        <v>39.770000000000003</v>
      </c>
      <c r="R123" s="203">
        <f t="shared" ca="1" si="131"/>
        <v>36.091111111111104</v>
      </c>
      <c r="S123" s="145"/>
      <c r="T123" s="145"/>
      <c r="U123" s="146"/>
      <c r="V123" s="148"/>
      <c r="W123" s="145"/>
      <c r="X123" s="152"/>
      <c r="AC123" s="164" t="s">
        <v>158</v>
      </c>
      <c r="AD123" s="164">
        <v>48</v>
      </c>
      <c r="AE123" s="165">
        <v>9</v>
      </c>
      <c r="AF123" s="165">
        <v>9</v>
      </c>
      <c r="AG123" s="165">
        <v>12</v>
      </c>
      <c r="AH123" s="165">
        <v>12</v>
      </c>
      <c r="AI123" s="165"/>
      <c r="AJ123" s="501"/>
      <c r="AK123" s="166">
        <f t="shared" ca="1" si="104"/>
        <v>45.37555555555555</v>
      </c>
      <c r="AL123" s="167">
        <f t="shared" ca="1" si="132"/>
        <v>9.7233333333333327</v>
      </c>
      <c r="AM123" s="167">
        <f t="shared" ca="1" si="133"/>
        <v>9.7233333333333327</v>
      </c>
      <c r="AN123" s="167">
        <f t="shared" ca="1" si="134"/>
        <v>12.964444444444442</v>
      </c>
      <c r="AO123" s="167">
        <f t="shared" ca="1" si="135"/>
        <v>12.964444444444442</v>
      </c>
      <c r="AP123" s="178"/>
      <c r="AQ123" s="169">
        <f t="shared" ca="1" si="107"/>
        <v>47.084000000000003</v>
      </c>
      <c r="AR123" s="170">
        <f ca="1">INDEX('Cap based on indoor unit SZ'!$J$6:$J$21,MATCH(AE123,'Cap based on indoor unit SZ'!$I$6:$I$21))</f>
        <v>10.463111111111111</v>
      </c>
      <c r="AS123" s="170">
        <f ca="1">INDEX('Cap based on indoor unit SZ'!$J$6:$J$21,MATCH(AF123,'Cap based on indoor unit SZ'!$I$6:$I$21))</f>
        <v>10.463111111111111</v>
      </c>
      <c r="AT123" s="170">
        <f ca="1">INDEX('Cap based on indoor unit SZ'!$J$6:$J$21,MATCH(AG123,'Cap based on indoor unit SZ'!$I$6:$I$21))</f>
        <v>13.078888888888891</v>
      </c>
      <c r="AU123" s="170">
        <f ca="1">INDEX('Cap based on indoor unit SZ'!$J$6:$J$21,MATCH(AH123,'Cap based on indoor unit SZ'!$I$6:$I$21))</f>
        <v>13.078888888888891</v>
      </c>
      <c r="AV123" s="179"/>
      <c r="AW123" s="169">
        <f t="shared" si="108"/>
        <v>42</v>
      </c>
      <c r="AX123" s="170">
        <v>9</v>
      </c>
      <c r="AY123" s="170">
        <v>9</v>
      </c>
      <c r="AZ123" s="170">
        <v>12</v>
      </c>
      <c r="BA123" s="170">
        <v>12</v>
      </c>
      <c r="BB123" s="179"/>
      <c r="BC123" s="172">
        <f t="shared" ca="1" si="109"/>
        <v>45.37555555555555</v>
      </c>
      <c r="BD123" s="173">
        <f t="shared" ca="1" si="136"/>
        <v>9.7233333333333327</v>
      </c>
      <c r="BE123" s="173">
        <f t="shared" ca="1" si="136"/>
        <v>9.7233333333333327</v>
      </c>
      <c r="BF123" s="173">
        <f t="shared" ca="1" si="136"/>
        <v>12.964444444444442</v>
      </c>
      <c r="BG123" s="173">
        <f t="shared" ca="1" si="136"/>
        <v>12.964444444444442</v>
      </c>
      <c r="BH123" s="180"/>
      <c r="BI123" s="166">
        <f t="shared" ca="1" si="112"/>
        <v>53.04909157509158</v>
      </c>
      <c r="BJ123" s="167">
        <f t="shared" ca="1" si="137"/>
        <v>11.579520146520149</v>
      </c>
      <c r="BK123" s="167">
        <f t="shared" ca="1" si="138"/>
        <v>11.579520146520149</v>
      </c>
      <c r="BL123" s="167">
        <f t="shared" ca="1" si="139"/>
        <v>14.945025641025641</v>
      </c>
      <c r="BM123" s="167">
        <f t="shared" ca="1" si="140"/>
        <v>14.945025641025641</v>
      </c>
      <c r="BN123" s="178"/>
      <c r="BO123" s="169">
        <f t="shared" ca="1" si="115"/>
        <v>53.802092307692305</v>
      </c>
      <c r="BP123" s="170">
        <f ca="1">INDEX('Cap based on indoor unit SZ'!$V$43:$V$58,MATCH(AE123,'Cap based on indoor unit SZ'!$U$43:$U$58))</f>
        <v>11.956020512820512</v>
      </c>
      <c r="BQ123" s="170">
        <f ca="1">INDEX('Cap based on indoor unit SZ'!$V$43:$V$58,MATCH(AF123,'Cap based on indoor unit SZ'!$U$43:$U$58))</f>
        <v>11.956020512820512</v>
      </c>
      <c r="BR123" s="170">
        <f ca="1">INDEX('Cap based on indoor unit SZ'!$V$43:$V$58,MATCH(AG123,'Cap based on indoor unit SZ'!$U$43:$U$58))</f>
        <v>14.945025641025641</v>
      </c>
      <c r="BS123" s="170">
        <f ca="1">INDEX('Cap based on indoor unit SZ'!$V$43:$V$58,MATCH(AH123,'Cap based on indoor unit SZ'!$U$43:$U$58))</f>
        <v>14.945025641025641</v>
      </c>
      <c r="BT123" s="179"/>
      <c r="BU123" s="175">
        <v>9500</v>
      </c>
      <c r="BV123" s="175">
        <v>9500</v>
      </c>
      <c r="BW123" s="175">
        <v>13000</v>
      </c>
      <c r="BX123" s="175">
        <v>13000</v>
      </c>
      <c r="BY123" s="179"/>
      <c r="BZ123" s="172">
        <f t="shared" ca="1" si="116"/>
        <v>54.037760683760695</v>
      </c>
      <c r="CA123" s="173">
        <f t="shared" ca="1" si="141"/>
        <v>11.579520146520149</v>
      </c>
      <c r="CB123" s="173">
        <f t="shared" ca="1" si="142"/>
        <v>11.579520146520149</v>
      </c>
      <c r="CC123" s="173">
        <f t="shared" ca="1" si="143"/>
        <v>15.439360195360198</v>
      </c>
      <c r="CD123" s="173">
        <f t="shared" ca="1" si="144"/>
        <v>15.439360195360198</v>
      </c>
      <c r="CE123" s="180"/>
      <c r="CF123" s="166">
        <f t="shared" ca="1" si="119"/>
        <v>34.638560967605656</v>
      </c>
      <c r="CG123" s="167">
        <f t="shared" ca="1" si="120"/>
        <v>7.4225487787726419</v>
      </c>
      <c r="CH123" s="167">
        <f t="shared" ca="1" si="120"/>
        <v>7.4225487787726419</v>
      </c>
      <c r="CI123" s="167">
        <f t="shared" ca="1" si="120"/>
        <v>9.896731705030188</v>
      </c>
      <c r="CJ123" s="167">
        <f t="shared" ca="1" si="120"/>
        <v>9.896731705030188</v>
      </c>
      <c r="CK123" s="178"/>
    </row>
    <row r="124" spans="2:89">
      <c r="B124" s="283">
        <v>24</v>
      </c>
      <c r="C124" s="285">
        <v>69</v>
      </c>
      <c r="D124" s="286"/>
      <c r="E124" s="8" t="s">
        <v>15</v>
      </c>
      <c r="F124" s="9">
        <v>13.68</v>
      </c>
      <c r="G124" s="2">
        <v>17.37</v>
      </c>
      <c r="H124" s="2">
        <v>19.600000000000001</v>
      </c>
      <c r="I124" s="2">
        <v>22</v>
      </c>
      <c r="J124" s="2">
        <v>23.37</v>
      </c>
      <c r="K124" s="2">
        <v>24.83</v>
      </c>
      <c r="L124" s="2">
        <v>25.2</v>
      </c>
      <c r="M124" s="2">
        <v>27.4</v>
      </c>
      <c r="N124" s="2">
        <v>29.52</v>
      </c>
      <c r="O124" s="2">
        <v>30.82</v>
      </c>
      <c r="P124" s="2">
        <v>35.770000000000003</v>
      </c>
      <c r="Q124" s="2">
        <v>40.21</v>
      </c>
      <c r="R124" s="203">
        <f t="shared" ca="1" si="131"/>
        <v>35.967333333333336</v>
      </c>
      <c r="S124" s="145"/>
      <c r="T124" s="145"/>
      <c r="U124" s="146" t="s">
        <v>97</v>
      </c>
      <c r="V124" s="147">
        <f ca="1">TREND(R122:R125,C122:C125,INDOOR_HEAT_DB)</f>
        <v>35.689852190310418</v>
      </c>
      <c r="W124" s="145"/>
      <c r="X124" s="152"/>
      <c r="AC124" s="164" t="s">
        <v>157</v>
      </c>
      <c r="AD124" s="164">
        <v>48</v>
      </c>
      <c r="AE124" s="165">
        <v>9</v>
      </c>
      <c r="AF124" s="165">
        <v>9</v>
      </c>
      <c r="AG124" s="165">
        <v>12</v>
      </c>
      <c r="AH124" s="165">
        <v>18</v>
      </c>
      <c r="AI124" s="165"/>
      <c r="AJ124" s="501"/>
      <c r="AK124" s="166">
        <f t="shared" ca="1" si="104"/>
        <v>45.37555555555555</v>
      </c>
      <c r="AL124" s="167">
        <f t="shared" ca="1" si="132"/>
        <v>8.5079166666666666</v>
      </c>
      <c r="AM124" s="167">
        <f t="shared" ca="1" si="133"/>
        <v>8.5079166666666666</v>
      </c>
      <c r="AN124" s="167">
        <f t="shared" ca="1" si="134"/>
        <v>11.343888888888888</v>
      </c>
      <c r="AO124" s="167">
        <f t="shared" ca="1" si="135"/>
        <v>17.015833333333333</v>
      </c>
      <c r="AP124" s="178"/>
      <c r="AQ124" s="169">
        <f t="shared" ca="1" si="107"/>
        <v>53.826222222222228</v>
      </c>
      <c r="AR124" s="170">
        <f ca="1">INDEX('Cap based on indoor unit SZ'!$J$6:$J$21,MATCH(AE124,'Cap based on indoor unit SZ'!$I$6:$I$21))</f>
        <v>10.463111111111111</v>
      </c>
      <c r="AS124" s="170">
        <f ca="1">INDEX('Cap based on indoor unit SZ'!$J$6:$J$21,MATCH(AF124,'Cap based on indoor unit SZ'!$I$6:$I$21))</f>
        <v>10.463111111111111</v>
      </c>
      <c r="AT124" s="170">
        <f ca="1">INDEX('Cap based on indoor unit SZ'!$J$6:$J$21,MATCH(AG124,'Cap based on indoor unit SZ'!$I$6:$I$21))</f>
        <v>13.078888888888891</v>
      </c>
      <c r="AU124" s="170">
        <f ca="1">INDEX('Cap based on indoor unit SZ'!$J$6:$J$21,MATCH(AH124,'Cap based on indoor unit SZ'!$I$6:$I$21))</f>
        <v>19.821111111111112</v>
      </c>
      <c r="AV124" s="179"/>
      <c r="AW124" s="169">
        <f t="shared" si="108"/>
        <v>46</v>
      </c>
      <c r="AX124" s="170">
        <v>9</v>
      </c>
      <c r="AY124" s="170">
        <v>9</v>
      </c>
      <c r="AZ124" s="170">
        <v>11</v>
      </c>
      <c r="BA124" s="170">
        <v>17</v>
      </c>
      <c r="BB124" s="179"/>
      <c r="BC124" s="172">
        <f t="shared" ca="1" si="109"/>
        <v>45.37555555555555</v>
      </c>
      <c r="BD124" s="173">
        <f t="shared" ca="1" si="136"/>
        <v>8.5079166666666666</v>
      </c>
      <c r="BE124" s="173">
        <f t="shared" ca="1" si="136"/>
        <v>8.5079166666666666</v>
      </c>
      <c r="BF124" s="173">
        <f t="shared" ca="1" si="136"/>
        <v>11.343888888888888</v>
      </c>
      <c r="BG124" s="173">
        <f t="shared" ca="1" si="136"/>
        <v>17.015833333333333</v>
      </c>
      <c r="BH124" s="180"/>
      <c r="BI124" s="166">
        <f t="shared" ca="1" si="112"/>
        <v>54.037760683760695</v>
      </c>
      <c r="BJ124" s="167">
        <f t="shared" ca="1" si="137"/>
        <v>10.13208012820513</v>
      </c>
      <c r="BK124" s="167">
        <f t="shared" ca="1" si="138"/>
        <v>10.13208012820513</v>
      </c>
      <c r="BL124" s="167">
        <f t="shared" ca="1" si="139"/>
        <v>13.509440170940174</v>
      </c>
      <c r="BM124" s="167">
        <f t="shared" ca="1" si="140"/>
        <v>20.264160256410261</v>
      </c>
      <c r="BN124" s="178"/>
      <c r="BO124" s="169">
        <f t="shared" ca="1" si="115"/>
        <v>63.455887179487178</v>
      </c>
      <c r="BP124" s="170">
        <f ca="1">INDEX('Cap based on indoor unit SZ'!$V$43:$V$58,MATCH(AE124,'Cap based on indoor unit SZ'!$U$43:$U$58))</f>
        <v>11.956020512820512</v>
      </c>
      <c r="BQ124" s="170">
        <f ca="1">INDEX('Cap based on indoor unit SZ'!$V$43:$V$58,MATCH(AF124,'Cap based on indoor unit SZ'!$U$43:$U$58))</f>
        <v>11.956020512820512</v>
      </c>
      <c r="BR124" s="170">
        <f ca="1">INDEX('Cap based on indoor unit SZ'!$V$43:$V$58,MATCH(AG124,'Cap based on indoor unit SZ'!$U$43:$U$58))</f>
        <v>14.945025641025641</v>
      </c>
      <c r="BS124" s="170">
        <f ca="1">INDEX('Cap based on indoor unit SZ'!$V$43:$V$58,MATCH(AH124,'Cap based on indoor unit SZ'!$U$43:$U$58))</f>
        <v>24.598820512820513</v>
      </c>
      <c r="BT124" s="179"/>
      <c r="BU124" s="175">
        <v>9500</v>
      </c>
      <c r="BV124" s="175">
        <v>9500</v>
      </c>
      <c r="BW124" s="175">
        <v>11500</v>
      </c>
      <c r="BX124" s="175">
        <v>17500</v>
      </c>
      <c r="BY124" s="179"/>
      <c r="BZ124" s="172">
        <f t="shared" ca="1" si="116"/>
        <v>54.037760683760695</v>
      </c>
      <c r="CA124" s="173">
        <f t="shared" ca="1" si="141"/>
        <v>10.13208012820513</v>
      </c>
      <c r="CB124" s="173">
        <f t="shared" ca="1" si="142"/>
        <v>10.13208012820513</v>
      </c>
      <c r="CC124" s="173">
        <f t="shared" ca="1" si="143"/>
        <v>13.509440170940174</v>
      </c>
      <c r="CD124" s="173">
        <f t="shared" ca="1" si="144"/>
        <v>20.264160256410261</v>
      </c>
      <c r="CE124" s="180"/>
      <c r="CF124" s="166">
        <f t="shared" ca="1" si="119"/>
        <v>34.63856096760567</v>
      </c>
      <c r="CG124" s="167">
        <f t="shared" ca="1" si="120"/>
        <v>6.4947301814260623</v>
      </c>
      <c r="CH124" s="167">
        <f t="shared" ca="1" si="120"/>
        <v>6.4947301814260623</v>
      </c>
      <c r="CI124" s="167">
        <f t="shared" ca="1" si="120"/>
        <v>8.6596402419014158</v>
      </c>
      <c r="CJ124" s="167">
        <f t="shared" ca="1" si="120"/>
        <v>12.989460362852125</v>
      </c>
      <c r="CK124" s="178"/>
    </row>
    <row r="125" spans="2:89" ht="14.4" thickBot="1">
      <c r="B125" s="283">
        <v>24</v>
      </c>
      <c r="C125" s="287">
        <v>71.599999999999994</v>
      </c>
      <c r="D125" s="288"/>
      <c r="E125" s="8" t="s">
        <v>15</v>
      </c>
      <c r="F125" s="9">
        <v>13.61</v>
      </c>
      <c r="G125" s="2">
        <v>17.29</v>
      </c>
      <c r="H125" s="2">
        <v>19.5</v>
      </c>
      <c r="I125" s="2">
        <v>21.89</v>
      </c>
      <c r="J125" s="2">
        <v>23.26</v>
      </c>
      <c r="K125" s="2">
        <v>24.71</v>
      </c>
      <c r="L125" s="2">
        <v>25.08</v>
      </c>
      <c r="M125" s="2">
        <v>27.26</v>
      </c>
      <c r="N125" s="2">
        <v>29.37</v>
      </c>
      <c r="O125" s="2">
        <v>30.4</v>
      </c>
      <c r="P125" s="2">
        <v>35.24</v>
      </c>
      <c r="Q125" s="2">
        <v>39.6</v>
      </c>
      <c r="R125" s="211">
        <f t="shared" ca="1" si="131"/>
        <v>35.433777777777777</v>
      </c>
      <c r="S125" s="145"/>
      <c r="T125" s="145"/>
      <c r="U125" s="146"/>
      <c r="V125" s="149"/>
      <c r="W125" s="145"/>
      <c r="X125" s="152"/>
      <c r="AC125" s="164" t="s">
        <v>156</v>
      </c>
      <c r="AD125" s="164">
        <v>48</v>
      </c>
      <c r="AE125" s="165">
        <v>9</v>
      </c>
      <c r="AF125" s="165">
        <v>9</v>
      </c>
      <c r="AG125" s="165">
        <v>12</v>
      </c>
      <c r="AH125" s="165">
        <v>24</v>
      </c>
      <c r="AI125" s="165"/>
      <c r="AJ125" s="501"/>
      <c r="AK125" s="166">
        <f t="shared" ca="1" si="104"/>
        <v>45.37555555555555</v>
      </c>
      <c r="AL125" s="167">
        <f t="shared" ca="1" si="132"/>
        <v>7.5625925925925914</v>
      </c>
      <c r="AM125" s="167">
        <f t="shared" ca="1" si="133"/>
        <v>7.5625925925925914</v>
      </c>
      <c r="AN125" s="167">
        <f t="shared" ca="1" si="134"/>
        <v>10.083456790123455</v>
      </c>
      <c r="AO125" s="167">
        <f t="shared" ca="1" si="135"/>
        <v>20.166913580246909</v>
      </c>
      <c r="AP125" s="178"/>
      <c r="AQ125" s="169">
        <f t="shared" ref="AQ125:AQ148" ca="1" si="145">SUM(AR125:AV125)</f>
        <v>58.457333333333331</v>
      </c>
      <c r="AR125" s="170">
        <f ca="1">INDEX('Cap based on indoor unit SZ'!$J$6:$J$21,MATCH(AE125,'Cap based on indoor unit SZ'!$I$6:$I$21))</f>
        <v>10.463111111111111</v>
      </c>
      <c r="AS125" s="170">
        <f ca="1">INDEX('Cap based on indoor unit SZ'!$J$6:$J$21,MATCH(AF125,'Cap based on indoor unit SZ'!$I$6:$I$21))</f>
        <v>10.463111111111111</v>
      </c>
      <c r="AT125" s="170">
        <f ca="1">INDEX('Cap based on indoor unit SZ'!$J$6:$J$21,MATCH(AG125,'Cap based on indoor unit SZ'!$I$6:$I$21))</f>
        <v>13.078888888888891</v>
      </c>
      <c r="AU125" s="170">
        <f ca="1">INDEX('Cap based on indoor unit SZ'!$J$6:$J$21,MATCH(AH125,'Cap based on indoor unit SZ'!$I$6:$I$21))</f>
        <v>24.452222222222218</v>
      </c>
      <c r="AV125" s="179"/>
      <c r="AW125" s="169">
        <f t="shared" si="108"/>
        <v>48</v>
      </c>
      <c r="AX125" s="170">
        <v>8.5</v>
      </c>
      <c r="AY125" s="170">
        <v>8.5</v>
      </c>
      <c r="AZ125" s="170">
        <v>10.5</v>
      </c>
      <c r="BA125" s="170">
        <v>20.5</v>
      </c>
      <c r="BB125" s="179"/>
      <c r="BC125" s="172">
        <f t="shared" ref="BC125:BC148" ca="1" si="146">SUM(BD125:BH125)</f>
        <v>45.37555555555555</v>
      </c>
      <c r="BD125" s="173">
        <f t="shared" ca="1" si="136"/>
        <v>7.5625925925925914</v>
      </c>
      <c r="BE125" s="173">
        <f t="shared" ca="1" si="136"/>
        <v>7.5625925925925914</v>
      </c>
      <c r="BF125" s="173">
        <f t="shared" ca="1" si="136"/>
        <v>10.083456790123455</v>
      </c>
      <c r="BG125" s="173">
        <f t="shared" ca="1" si="136"/>
        <v>20.166913580246909</v>
      </c>
      <c r="BH125" s="180"/>
      <c r="BI125" s="166">
        <f t="shared" ca="1" si="112"/>
        <v>54.037760683760688</v>
      </c>
      <c r="BJ125" s="167">
        <f t="shared" ca="1" si="137"/>
        <v>9.0062934472934479</v>
      </c>
      <c r="BK125" s="167">
        <f t="shared" ca="1" si="138"/>
        <v>9.0062934472934479</v>
      </c>
      <c r="BL125" s="167">
        <f t="shared" ca="1" si="139"/>
        <v>12.008391263057931</v>
      </c>
      <c r="BM125" s="167">
        <f t="shared" ca="1" si="140"/>
        <v>24.016782526115861</v>
      </c>
      <c r="BN125" s="178"/>
      <c r="BO125" s="169">
        <f t="shared" ref="BO125:BO148" ca="1" si="147">SUM(BP125:BT125)</f>
        <v>69.147066666666674</v>
      </c>
      <c r="BP125" s="170">
        <f ca="1">INDEX('Cap based on indoor unit SZ'!$V$43:$V$58,MATCH(AE125,'Cap based on indoor unit SZ'!$U$43:$U$58))</f>
        <v>11.956020512820512</v>
      </c>
      <c r="BQ125" s="170">
        <f ca="1">INDEX('Cap based on indoor unit SZ'!$V$43:$V$58,MATCH(AF125,'Cap based on indoor unit SZ'!$U$43:$U$58))</f>
        <v>11.956020512820512</v>
      </c>
      <c r="BR125" s="170">
        <f ca="1">INDEX('Cap based on indoor unit SZ'!$V$43:$V$58,MATCH(AG125,'Cap based on indoor unit SZ'!$U$43:$U$58))</f>
        <v>14.945025641025641</v>
      </c>
      <c r="BS125" s="170">
        <f ca="1">INDEX('Cap based on indoor unit SZ'!$V$43:$V$58,MATCH(AH125,'Cap based on indoor unit SZ'!$U$43:$U$58))</f>
        <v>30.290000000000003</v>
      </c>
      <c r="BT125" s="179"/>
      <c r="BU125" s="175">
        <v>9000</v>
      </c>
      <c r="BV125" s="175">
        <v>9000</v>
      </c>
      <c r="BW125" s="175">
        <v>11000</v>
      </c>
      <c r="BX125" s="175">
        <v>21000</v>
      </c>
      <c r="BY125" s="179"/>
      <c r="BZ125" s="172">
        <f t="shared" ca="1" si="116"/>
        <v>54.037760683760688</v>
      </c>
      <c r="CA125" s="173">
        <f t="shared" ca="1" si="141"/>
        <v>9.0062934472934479</v>
      </c>
      <c r="CB125" s="173">
        <f t="shared" ca="1" si="142"/>
        <v>9.0062934472934479</v>
      </c>
      <c r="CC125" s="173">
        <f t="shared" ca="1" si="143"/>
        <v>12.008391263057931</v>
      </c>
      <c r="CD125" s="173">
        <f t="shared" ca="1" si="144"/>
        <v>24.016782526115861</v>
      </c>
      <c r="CE125" s="180"/>
      <c r="CF125" s="166">
        <f t="shared" ref="CF125:CF148" ca="1" si="148">SUM(CG125:CK125)</f>
        <v>34.638560967605656</v>
      </c>
      <c r="CG125" s="167">
        <f t="shared" ref="CG125:CK148" ca="1" si="149">AL125*(INDEX($X$67:$X$86,MATCH($AD125,$W$67:$W$86,1)))</f>
        <v>5.7730934946009436</v>
      </c>
      <c r="CH125" s="167">
        <f t="shared" ca="1" si="149"/>
        <v>5.7730934946009436</v>
      </c>
      <c r="CI125" s="167">
        <f t="shared" ca="1" si="149"/>
        <v>7.6974579928012572</v>
      </c>
      <c r="CJ125" s="167">
        <f t="shared" ca="1" si="149"/>
        <v>15.394915985602514</v>
      </c>
      <c r="CK125" s="178"/>
    </row>
    <row r="126" spans="2:89">
      <c r="B126" s="283">
        <v>30</v>
      </c>
      <c r="C126" s="289">
        <v>59</v>
      </c>
      <c r="D126" s="290"/>
      <c r="E126" s="8" t="s">
        <v>15</v>
      </c>
      <c r="F126" s="9">
        <v>18.43</v>
      </c>
      <c r="G126" s="2">
        <v>22.26</v>
      </c>
      <c r="H126" s="2">
        <v>24.22</v>
      </c>
      <c r="I126" s="2">
        <v>26.51</v>
      </c>
      <c r="J126" s="2">
        <v>27.98</v>
      </c>
      <c r="K126" s="2">
        <v>31.38</v>
      </c>
      <c r="L126" s="2">
        <v>31.66</v>
      </c>
      <c r="M126" s="2">
        <v>33.049999999999997</v>
      </c>
      <c r="N126" s="2">
        <v>34.71</v>
      </c>
      <c r="O126" s="2">
        <v>36.630000000000003</v>
      </c>
      <c r="P126" s="2">
        <v>37.99</v>
      </c>
      <c r="Q126" s="2">
        <v>41.37</v>
      </c>
      <c r="R126" s="195">
        <f t="shared" ca="1" si="131"/>
        <v>38.140222222222221</v>
      </c>
      <c r="S126" s="145"/>
      <c r="T126" s="145"/>
      <c r="U126" s="146" t="s">
        <v>96</v>
      </c>
      <c r="V126" s="147">
        <f ca="1">FORECAST(INDOOR_HEAT_DB,OFFSET(R126:R129,MATCH(INDOOR_HEAT_DB,C126:C129,1)-1,0,2),OFFSET(C126:C129,MATCH(INDOOR_HEAT_DB,C126:C129,1)-1,0,2))</f>
        <v>36.672000000000004</v>
      </c>
      <c r="W126" s="145">
        <f>B126</f>
        <v>30</v>
      </c>
      <c r="X126" s="147">
        <f ca="1">IF(OR(INDOOR_HEAT_DB&lt;C126,INDOOR_HEAT_DB&gt;C129),V128,V126)</f>
        <v>36.672000000000004</v>
      </c>
      <c r="AC126" s="164" t="s">
        <v>155</v>
      </c>
      <c r="AD126" s="164">
        <v>48</v>
      </c>
      <c r="AE126" s="165">
        <v>9</v>
      </c>
      <c r="AF126" s="165">
        <v>9</v>
      </c>
      <c r="AG126" s="165">
        <v>18</v>
      </c>
      <c r="AH126" s="165">
        <v>18</v>
      </c>
      <c r="AI126" s="165"/>
      <c r="AJ126" s="501"/>
      <c r="AK126" s="166">
        <f t="shared" ca="1" si="104"/>
        <v>45.37555555555555</v>
      </c>
      <c r="AL126" s="167">
        <f t="shared" ca="1" si="132"/>
        <v>7.5625925925925914</v>
      </c>
      <c r="AM126" s="167">
        <f t="shared" ca="1" si="133"/>
        <v>7.5625925925925914</v>
      </c>
      <c r="AN126" s="167">
        <f t="shared" ca="1" si="134"/>
        <v>15.125185185185183</v>
      </c>
      <c r="AO126" s="167">
        <f t="shared" ca="1" si="135"/>
        <v>15.125185185185183</v>
      </c>
      <c r="AP126" s="178"/>
      <c r="AQ126" s="169">
        <f t="shared" ca="1" si="145"/>
        <v>60.568444444444438</v>
      </c>
      <c r="AR126" s="170">
        <f ca="1">INDEX('Cap based on indoor unit SZ'!$J$6:$J$21,MATCH(AE126,'Cap based on indoor unit SZ'!$I$6:$I$21))</f>
        <v>10.463111111111111</v>
      </c>
      <c r="AS126" s="170">
        <f ca="1">INDEX('Cap based on indoor unit SZ'!$J$6:$J$21,MATCH(AF126,'Cap based on indoor unit SZ'!$I$6:$I$21))</f>
        <v>10.463111111111111</v>
      </c>
      <c r="AT126" s="170">
        <f ca="1">INDEX('Cap based on indoor unit SZ'!$J$6:$J$21,MATCH(AG126,'Cap based on indoor unit SZ'!$I$6:$I$21))</f>
        <v>19.821111111111112</v>
      </c>
      <c r="AU126" s="170">
        <f ca="1">INDEX('Cap based on indoor unit SZ'!$J$6:$J$21,MATCH(AH126,'Cap based on indoor unit SZ'!$I$6:$I$21))</f>
        <v>19.821111111111112</v>
      </c>
      <c r="AV126" s="179"/>
      <c r="AW126" s="169">
        <f t="shared" si="108"/>
        <v>48</v>
      </c>
      <c r="AX126" s="170">
        <v>8.5</v>
      </c>
      <c r="AY126" s="170">
        <v>8.5</v>
      </c>
      <c r="AZ126" s="170">
        <v>15.5</v>
      </c>
      <c r="BA126" s="170">
        <v>15.5</v>
      </c>
      <c r="BB126" s="179"/>
      <c r="BC126" s="172">
        <f t="shared" ca="1" si="146"/>
        <v>45.37555555555555</v>
      </c>
      <c r="BD126" s="173">
        <f t="shared" ca="1" si="136"/>
        <v>7.5625925925925914</v>
      </c>
      <c r="BE126" s="173">
        <f t="shared" ca="1" si="136"/>
        <v>7.5625925925925914</v>
      </c>
      <c r="BF126" s="173">
        <f t="shared" ca="1" si="136"/>
        <v>15.125185185185183</v>
      </c>
      <c r="BG126" s="173">
        <f t="shared" ca="1" si="136"/>
        <v>15.125185185185183</v>
      </c>
      <c r="BH126" s="180"/>
      <c r="BI126" s="166">
        <f t="shared" ca="1" si="112"/>
        <v>54.037760683760688</v>
      </c>
      <c r="BJ126" s="167">
        <f t="shared" ca="1" si="137"/>
        <v>9.0062934472934479</v>
      </c>
      <c r="BK126" s="167">
        <f t="shared" ca="1" si="138"/>
        <v>9.0062934472934479</v>
      </c>
      <c r="BL126" s="167">
        <f t="shared" ca="1" si="139"/>
        <v>18.012586894586896</v>
      </c>
      <c r="BM126" s="167">
        <f t="shared" ca="1" si="140"/>
        <v>18.012586894586896</v>
      </c>
      <c r="BN126" s="178"/>
      <c r="BO126" s="169">
        <f t="shared" ca="1" si="147"/>
        <v>73.10968205128205</v>
      </c>
      <c r="BP126" s="170">
        <f ca="1">INDEX('Cap based on indoor unit SZ'!$V$43:$V$58,MATCH(AE126,'Cap based on indoor unit SZ'!$U$43:$U$58))</f>
        <v>11.956020512820512</v>
      </c>
      <c r="BQ126" s="170">
        <f ca="1">INDEX('Cap based on indoor unit SZ'!$V$43:$V$58,MATCH(AF126,'Cap based on indoor unit SZ'!$U$43:$U$58))</f>
        <v>11.956020512820512</v>
      </c>
      <c r="BR126" s="170">
        <f ca="1">INDEX('Cap based on indoor unit SZ'!$V$43:$V$58,MATCH(AG126,'Cap based on indoor unit SZ'!$U$43:$U$58))</f>
        <v>24.598820512820513</v>
      </c>
      <c r="BS126" s="170">
        <f ca="1">INDEX('Cap based on indoor unit SZ'!$V$43:$V$58,MATCH(AH126,'Cap based on indoor unit SZ'!$U$43:$U$58))</f>
        <v>24.598820512820513</v>
      </c>
      <c r="BT126" s="179"/>
      <c r="BU126" s="175">
        <v>9000</v>
      </c>
      <c r="BV126" s="175">
        <v>9000</v>
      </c>
      <c r="BW126" s="175">
        <v>16000</v>
      </c>
      <c r="BX126" s="175">
        <v>16000</v>
      </c>
      <c r="BY126" s="179"/>
      <c r="BZ126" s="172">
        <f t="shared" ca="1" si="116"/>
        <v>54.037760683760688</v>
      </c>
      <c r="CA126" s="173">
        <f t="shared" ca="1" si="141"/>
        <v>9.0062934472934479</v>
      </c>
      <c r="CB126" s="173">
        <f t="shared" ca="1" si="142"/>
        <v>9.0062934472934479</v>
      </c>
      <c r="CC126" s="173">
        <f t="shared" ca="1" si="143"/>
        <v>18.012586894586896</v>
      </c>
      <c r="CD126" s="173">
        <f t="shared" ca="1" si="144"/>
        <v>18.012586894586896</v>
      </c>
      <c r="CE126" s="180"/>
      <c r="CF126" s="166">
        <f t="shared" ca="1" si="148"/>
        <v>34.638560967605663</v>
      </c>
      <c r="CG126" s="167">
        <f t="shared" ca="1" si="149"/>
        <v>5.7730934946009436</v>
      </c>
      <c r="CH126" s="167">
        <f t="shared" ca="1" si="149"/>
        <v>5.7730934946009436</v>
      </c>
      <c r="CI126" s="167">
        <f t="shared" ca="1" si="149"/>
        <v>11.546186989201887</v>
      </c>
      <c r="CJ126" s="167">
        <f t="shared" ca="1" si="149"/>
        <v>11.546186989201887</v>
      </c>
      <c r="CK126" s="178"/>
    </row>
    <row r="127" spans="2:89">
      <c r="B127" s="283">
        <v>30</v>
      </c>
      <c r="C127" s="285">
        <v>64.400000000000006</v>
      </c>
      <c r="D127" s="286"/>
      <c r="E127" s="8" t="s">
        <v>15</v>
      </c>
      <c r="F127" s="9">
        <v>18.18</v>
      </c>
      <c r="G127" s="2">
        <v>21.95</v>
      </c>
      <c r="H127" s="2">
        <v>23.88</v>
      </c>
      <c r="I127" s="2">
        <v>26.14</v>
      </c>
      <c r="J127" s="2">
        <v>27.59</v>
      </c>
      <c r="K127" s="2">
        <v>30.92</v>
      </c>
      <c r="L127" s="2">
        <v>31.2</v>
      </c>
      <c r="M127" s="2">
        <v>32.56</v>
      </c>
      <c r="N127" s="2">
        <v>34.21</v>
      </c>
      <c r="O127" s="2">
        <v>36.1</v>
      </c>
      <c r="P127" s="2">
        <v>37.42</v>
      </c>
      <c r="Q127" s="2">
        <v>40.75</v>
      </c>
      <c r="R127" s="203">
        <f t="shared" ca="1" si="131"/>
        <v>37.567999999999998</v>
      </c>
      <c r="S127" s="152"/>
      <c r="T127" s="152"/>
      <c r="U127" s="146"/>
      <c r="V127" s="148"/>
      <c r="W127" s="145"/>
      <c r="X127" s="152"/>
      <c r="AC127" s="164" t="s">
        <v>154</v>
      </c>
      <c r="AD127" s="164">
        <v>48</v>
      </c>
      <c r="AE127" s="165">
        <v>9</v>
      </c>
      <c r="AF127" s="165">
        <v>9</v>
      </c>
      <c r="AG127" s="165">
        <v>18</v>
      </c>
      <c r="AH127" s="165">
        <v>24</v>
      </c>
      <c r="AI127" s="165"/>
      <c r="AJ127" s="501"/>
      <c r="AK127" s="166">
        <f t="shared" ca="1" si="104"/>
        <v>45.37555555555555</v>
      </c>
      <c r="AL127" s="167">
        <f t="shared" ca="1" si="132"/>
        <v>6.8063333333333329</v>
      </c>
      <c r="AM127" s="167">
        <f t="shared" ca="1" si="133"/>
        <v>6.8063333333333329</v>
      </c>
      <c r="AN127" s="167">
        <f t="shared" ca="1" si="134"/>
        <v>13.612666666666666</v>
      </c>
      <c r="AO127" s="167">
        <f t="shared" ca="1" si="135"/>
        <v>18.150222222222219</v>
      </c>
      <c r="AP127" s="178"/>
      <c r="AQ127" s="169">
        <f t="shared" ca="1" si="145"/>
        <v>65.199555555555548</v>
      </c>
      <c r="AR127" s="170">
        <f ca="1">INDEX('Cap based on indoor unit SZ'!$J$6:$J$21,MATCH(AE127,'Cap based on indoor unit SZ'!$I$6:$I$21))</f>
        <v>10.463111111111111</v>
      </c>
      <c r="AS127" s="170">
        <f ca="1">INDEX('Cap based on indoor unit SZ'!$J$6:$J$21,MATCH(AF127,'Cap based on indoor unit SZ'!$I$6:$I$21))</f>
        <v>10.463111111111111</v>
      </c>
      <c r="AT127" s="170">
        <f ca="1">INDEX('Cap based on indoor unit SZ'!$J$6:$J$21,MATCH(AG127,'Cap based on indoor unit SZ'!$I$6:$I$21))</f>
        <v>19.821111111111112</v>
      </c>
      <c r="AU127" s="170">
        <f ca="1">INDEX('Cap based on indoor unit SZ'!$J$6:$J$21,MATCH(AH127,'Cap based on indoor unit SZ'!$I$6:$I$21))</f>
        <v>24.452222222222218</v>
      </c>
      <c r="AV127" s="179"/>
      <c r="AW127" s="169">
        <f t="shared" si="108"/>
        <v>50.5</v>
      </c>
      <c r="AX127" s="170">
        <v>8</v>
      </c>
      <c r="AY127" s="170">
        <v>8</v>
      </c>
      <c r="AZ127" s="170">
        <v>14.5</v>
      </c>
      <c r="BA127" s="170">
        <v>20</v>
      </c>
      <c r="BB127" s="179"/>
      <c r="BC127" s="172">
        <f t="shared" ca="1" si="146"/>
        <v>45.37555555555555</v>
      </c>
      <c r="BD127" s="173">
        <f t="shared" ca="1" si="136"/>
        <v>6.8063333333333329</v>
      </c>
      <c r="BE127" s="173">
        <f t="shared" ca="1" si="136"/>
        <v>6.8063333333333329</v>
      </c>
      <c r="BF127" s="173">
        <f t="shared" ca="1" si="136"/>
        <v>13.612666666666666</v>
      </c>
      <c r="BG127" s="173">
        <f t="shared" ca="1" si="136"/>
        <v>18.150222222222219</v>
      </c>
      <c r="BH127" s="180"/>
      <c r="BI127" s="166">
        <f t="shared" ca="1" si="112"/>
        <v>54.037760683760695</v>
      </c>
      <c r="BJ127" s="167">
        <f t="shared" ca="1" si="137"/>
        <v>8.1056641025641039</v>
      </c>
      <c r="BK127" s="167">
        <f t="shared" ca="1" si="138"/>
        <v>8.1056641025641039</v>
      </c>
      <c r="BL127" s="167">
        <f t="shared" ca="1" si="139"/>
        <v>16.211328205128208</v>
      </c>
      <c r="BM127" s="167">
        <f t="shared" ca="1" si="140"/>
        <v>21.615104273504276</v>
      </c>
      <c r="BN127" s="178"/>
      <c r="BO127" s="169">
        <f t="shared" ca="1" si="147"/>
        <v>78.800861538461547</v>
      </c>
      <c r="BP127" s="170">
        <f ca="1">INDEX('Cap based on indoor unit SZ'!$V$43:$V$58,MATCH(AE127,'Cap based on indoor unit SZ'!$U$43:$U$58))</f>
        <v>11.956020512820512</v>
      </c>
      <c r="BQ127" s="170">
        <f ca="1">INDEX('Cap based on indoor unit SZ'!$V$43:$V$58,MATCH(AF127,'Cap based on indoor unit SZ'!$U$43:$U$58))</f>
        <v>11.956020512820512</v>
      </c>
      <c r="BR127" s="170">
        <f ca="1">INDEX('Cap based on indoor unit SZ'!$V$43:$V$58,MATCH(AG127,'Cap based on indoor unit SZ'!$U$43:$U$58))</f>
        <v>24.598820512820513</v>
      </c>
      <c r="BS127" s="170">
        <f ca="1">INDEX('Cap based on indoor unit SZ'!$V$43:$V$58,MATCH(AH127,'Cap based on indoor unit SZ'!$U$43:$U$58))</f>
        <v>30.290000000000003</v>
      </c>
      <c r="BT127" s="179"/>
      <c r="BU127" s="175">
        <v>8500</v>
      </c>
      <c r="BV127" s="175">
        <v>8500</v>
      </c>
      <c r="BW127" s="175">
        <v>15000</v>
      </c>
      <c r="BX127" s="175">
        <v>20000</v>
      </c>
      <c r="BY127" s="179"/>
      <c r="BZ127" s="172">
        <f t="shared" ca="1" si="116"/>
        <v>54.037760683760695</v>
      </c>
      <c r="CA127" s="173">
        <f t="shared" ca="1" si="141"/>
        <v>8.1056641025641039</v>
      </c>
      <c r="CB127" s="173">
        <f t="shared" ca="1" si="142"/>
        <v>8.1056641025641039</v>
      </c>
      <c r="CC127" s="173">
        <f t="shared" ca="1" si="143"/>
        <v>16.211328205128208</v>
      </c>
      <c r="CD127" s="173">
        <f t="shared" ca="1" si="144"/>
        <v>21.615104273504276</v>
      </c>
      <c r="CE127" s="180"/>
      <c r="CF127" s="166">
        <f t="shared" ca="1" si="148"/>
        <v>34.638560967605656</v>
      </c>
      <c r="CG127" s="167">
        <f t="shared" ca="1" si="149"/>
        <v>5.1957841451408493</v>
      </c>
      <c r="CH127" s="167">
        <f t="shared" ca="1" si="149"/>
        <v>5.1957841451408493</v>
      </c>
      <c r="CI127" s="167">
        <f t="shared" ca="1" si="149"/>
        <v>10.391568290281699</v>
      </c>
      <c r="CJ127" s="167">
        <f t="shared" ca="1" si="149"/>
        <v>13.855424387042262</v>
      </c>
      <c r="CK127" s="178"/>
    </row>
    <row r="128" spans="2:89">
      <c r="B128" s="283">
        <v>30</v>
      </c>
      <c r="C128" s="287">
        <v>69</v>
      </c>
      <c r="D128" s="288"/>
      <c r="E128" s="8" t="s">
        <v>15</v>
      </c>
      <c r="F128" s="9">
        <v>16.489999999999998</v>
      </c>
      <c r="G128" s="2">
        <v>20.39</v>
      </c>
      <c r="H128" s="2">
        <v>21.78</v>
      </c>
      <c r="I128" s="2">
        <v>23.72</v>
      </c>
      <c r="J128" s="2">
        <v>25.98</v>
      </c>
      <c r="K128" s="2">
        <v>27.33</v>
      </c>
      <c r="L128" s="2">
        <v>27.78</v>
      </c>
      <c r="M128" s="2">
        <v>31.46</v>
      </c>
      <c r="N128" s="2">
        <v>33.54</v>
      </c>
      <c r="O128" s="2">
        <v>35.630000000000003</v>
      </c>
      <c r="P128" s="2">
        <v>36.75</v>
      </c>
      <c r="Q128" s="2">
        <v>39.770000000000003</v>
      </c>
      <c r="R128" s="203">
        <f t="shared" ca="1" si="131"/>
        <v>36.884222222222228</v>
      </c>
      <c r="S128" s="152"/>
      <c r="T128" s="152"/>
      <c r="U128" s="146" t="s">
        <v>97</v>
      </c>
      <c r="V128" s="147">
        <f ca="1">TREND(R126:R129,C126:C129,INDOOR_HEAT_DB)</f>
        <v>36.666557296199599</v>
      </c>
      <c r="W128" s="145"/>
      <c r="X128" s="152"/>
      <c r="AC128" s="164" t="s">
        <v>153</v>
      </c>
      <c r="AD128" s="164">
        <v>48</v>
      </c>
      <c r="AE128" s="165">
        <v>9</v>
      </c>
      <c r="AF128" s="165">
        <v>12</v>
      </c>
      <c r="AG128" s="165">
        <v>12</v>
      </c>
      <c r="AH128" s="165">
        <v>12</v>
      </c>
      <c r="AI128" s="165"/>
      <c r="AJ128" s="501"/>
      <c r="AK128" s="166">
        <f t="shared" ca="1" si="104"/>
        <v>45.37555555555555</v>
      </c>
      <c r="AL128" s="167">
        <f t="shared" ca="1" si="132"/>
        <v>9.0751111111111111</v>
      </c>
      <c r="AM128" s="167">
        <f t="shared" ca="1" si="133"/>
        <v>12.100148148148147</v>
      </c>
      <c r="AN128" s="167">
        <f t="shared" ca="1" si="134"/>
        <v>12.100148148148147</v>
      </c>
      <c r="AO128" s="167">
        <f t="shared" ca="1" si="135"/>
        <v>12.100148148148147</v>
      </c>
      <c r="AP128" s="178"/>
      <c r="AQ128" s="169">
        <f t="shared" ca="1" si="145"/>
        <v>49.699777777777783</v>
      </c>
      <c r="AR128" s="170">
        <f ca="1">INDEX('Cap based on indoor unit SZ'!$J$6:$J$21,MATCH(AE128,'Cap based on indoor unit SZ'!$I$6:$I$21))</f>
        <v>10.463111111111111</v>
      </c>
      <c r="AS128" s="170">
        <f ca="1">INDEX('Cap based on indoor unit SZ'!$J$6:$J$21,MATCH(AF128,'Cap based on indoor unit SZ'!$I$6:$I$21))</f>
        <v>13.078888888888891</v>
      </c>
      <c r="AT128" s="170">
        <f ca="1">INDEX('Cap based on indoor unit SZ'!$J$6:$J$21,MATCH(AG128,'Cap based on indoor unit SZ'!$I$6:$I$21))</f>
        <v>13.078888888888891</v>
      </c>
      <c r="AU128" s="170">
        <f ca="1">INDEX('Cap based on indoor unit SZ'!$J$6:$J$21,MATCH(AH128,'Cap based on indoor unit SZ'!$I$6:$I$21))</f>
        <v>13.078888888888891</v>
      </c>
      <c r="AV128" s="179"/>
      <c r="AW128" s="169">
        <f t="shared" si="108"/>
        <v>45</v>
      </c>
      <c r="AX128" s="170">
        <v>9</v>
      </c>
      <c r="AY128" s="170">
        <v>12</v>
      </c>
      <c r="AZ128" s="170">
        <v>12</v>
      </c>
      <c r="BA128" s="170">
        <v>12</v>
      </c>
      <c r="BB128" s="179"/>
      <c r="BC128" s="172">
        <f t="shared" ca="1" si="146"/>
        <v>45.37555555555555</v>
      </c>
      <c r="BD128" s="173">
        <f t="shared" ca="1" si="136"/>
        <v>9.0751111111111111</v>
      </c>
      <c r="BE128" s="173">
        <f t="shared" ca="1" si="136"/>
        <v>12.100148148148147</v>
      </c>
      <c r="BF128" s="173">
        <f t="shared" ca="1" si="136"/>
        <v>12.100148148148147</v>
      </c>
      <c r="BG128" s="173">
        <f t="shared" ca="1" si="136"/>
        <v>12.100148148148147</v>
      </c>
      <c r="BH128" s="180"/>
      <c r="BI128" s="166">
        <f t="shared" ca="1" si="112"/>
        <v>54.037760683760695</v>
      </c>
      <c r="BJ128" s="167">
        <f t="shared" ca="1" si="137"/>
        <v>10.80755213675214</v>
      </c>
      <c r="BK128" s="167">
        <f t="shared" ca="1" si="138"/>
        <v>14.41006951566952</v>
      </c>
      <c r="BL128" s="167">
        <f t="shared" ca="1" si="139"/>
        <v>14.41006951566952</v>
      </c>
      <c r="BM128" s="167">
        <f t="shared" ca="1" si="140"/>
        <v>14.41006951566952</v>
      </c>
      <c r="BN128" s="178"/>
      <c r="BO128" s="169">
        <f t="shared" ca="1" si="147"/>
        <v>56.791097435897427</v>
      </c>
      <c r="BP128" s="170">
        <f ca="1">INDEX('Cap based on indoor unit SZ'!$V$43:$V$58,MATCH(AE128,'Cap based on indoor unit SZ'!$U$43:$U$58))</f>
        <v>11.956020512820512</v>
      </c>
      <c r="BQ128" s="170">
        <f ca="1">INDEX('Cap based on indoor unit SZ'!$V$43:$V$58,MATCH(AF128,'Cap based on indoor unit SZ'!$U$43:$U$58))</f>
        <v>14.945025641025641</v>
      </c>
      <c r="BR128" s="170">
        <f ca="1">INDEX('Cap based on indoor unit SZ'!$V$43:$V$58,MATCH(AG128,'Cap based on indoor unit SZ'!$U$43:$U$58))</f>
        <v>14.945025641025641</v>
      </c>
      <c r="BS128" s="170">
        <f ca="1">INDEX('Cap based on indoor unit SZ'!$V$43:$V$58,MATCH(AH128,'Cap based on indoor unit SZ'!$U$43:$U$58))</f>
        <v>14.945025641025641</v>
      </c>
      <c r="BT128" s="179"/>
      <c r="BU128" s="175">
        <v>9500</v>
      </c>
      <c r="BV128" s="175">
        <v>12500</v>
      </c>
      <c r="BW128" s="175">
        <v>12500</v>
      </c>
      <c r="BX128" s="175">
        <v>12500</v>
      </c>
      <c r="BY128" s="179"/>
      <c r="BZ128" s="172">
        <f t="shared" ca="1" si="116"/>
        <v>54.037760683760695</v>
      </c>
      <c r="CA128" s="173">
        <f t="shared" ca="1" si="141"/>
        <v>10.80755213675214</v>
      </c>
      <c r="CB128" s="173">
        <f t="shared" ca="1" si="142"/>
        <v>14.41006951566952</v>
      </c>
      <c r="CC128" s="173">
        <f t="shared" ca="1" si="143"/>
        <v>14.41006951566952</v>
      </c>
      <c r="CD128" s="173">
        <f t="shared" ca="1" si="144"/>
        <v>14.41006951566952</v>
      </c>
      <c r="CE128" s="180"/>
      <c r="CF128" s="166">
        <f t="shared" ca="1" si="148"/>
        <v>34.638560967605663</v>
      </c>
      <c r="CG128" s="167">
        <f t="shared" ca="1" si="149"/>
        <v>6.927712193521133</v>
      </c>
      <c r="CH128" s="167">
        <f t="shared" ca="1" si="149"/>
        <v>9.2369495913615101</v>
      </c>
      <c r="CI128" s="167">
        <f t="shared" ca="1" si="149"/>
        <v>9.2369495913615101</v>
      </c>
      <c r="CJ128" s="167">
        <f t="shared" ca="1" si="149"/>
        <v>9.2369495913615101</v>
      </c>
      <c r="CK128" s="178"/>
    </row>
    <row r="129" spans="2:89" ht="14.4" thickBot="1">
      <c r="B129" s="283">
        <v>30</v>
      </c>
      <c r="C129" s="289">
        <v>71.599999999999994</v>
      </c>
      <c r="D129" s="290"/>
      <c r="E129" s="8" t="s">
        <v>15</v>
      </c>
      <c r="F129" s="9">
        <v>15.32</v>
      </c>
      <c r="G129" s="2">
        <v>19.18</v>
      </c>
      <c r="H129" s="2">
        <v>21.52</v>
      </c>
      <c r="I129" s="2">
        <v>23.44</v>
      </c>
      <c r="J129" s="2">
        <v>25.67</v>
      </c>
      <c r="K129" s="2">
        <v>26.93</v>
      </c>
      <c r="L129" s="2">
        <v>27.38</v>
      </c>
      <c r="M129" s="2">
        <v>30.99</v>
      </c>
      <c r="N129" s="2">
        <v>33.04</v>
      </c>
      <c r="O129" s="2">
        <v>35.1</v>
      </c>
      <c r="P129" s="2">
        <v>36.200000000000003</v>
      </c>
      <c r="Q129" s="2">
        <v>39.18</v>
      </c>
      <c r="R129" s="211">
        <f t="shared" ca="1" si="131"/>
        <v>36.332444444444448</v>
      </c>
      <c r="S129" s="152"/>
      <c r="T129" s="152"/>
      <c r="U129" s="146"/>
      <c r="V129" s="213"/>
      <c r="W129" s="152"/>
      <c r="X129" s="152"/>
      <c r="AC129" s="164" t="s">
        <v>152</v>
      </c>
      <c r="AD129" s="164">
        <v>48</v>
      </c>
      <c r="AE129" s="165">
        <v>9</v>
      </c>
      <c r="AF129" s="165">
        <v>12</v>
      </c>
      <c r="AG129" s="165">
        <v>12</v>
      </c>
      <c r="AH129" s="165">
        <v>18</v>
      </c>
      <c r="AI129" s="165"/>
      <c r="AJ129" s="501"/>
      <c r="AK129" s="166">
        <f t="shared" ca="1" si="104"/>
        <v>45.375555555555557</v>
      </c>
      <c r="AL129" s="167">
        <f t="shared" ca="1" si="132"/>
        <v>8.0074509803921572</v>
      </c>
      <c r="AM129" s="167">
        <f t="shared" ca="1" si="133"/>
        <v>10.676601307189543</v>
      </c>
      <c r="AN129" s="167">
        <f t="shared" ca="1" si="134"/>
        <v>10.676601307189543</v>
      </c>
      <c r="AO129" s="167">
        <f t="shared" ca="1" si="135"/>
        <v>16.014901960784314</v>
      </c>
      <c r="AP129" s="178"/>
      <c r="AQ129" s="169">
        <f t="shared" ca="1" si="145"/>
        <v>56.442000000000007</v>
      </c>
      <c r="AR129" s="170">
        <f ca="1">INDEX('Cap based on indoor unit SZ'!$J$6:$J$21,MATCH(AE129,'Cap based on indoor unit SZ'!$I$6:$I$21))</f>
        <v>10.463111111111111</v>
      </c>
      <c r="AS129" s="170">
        <f ca="1">INDEX('Cap based on indoor unit SZ'!$J$6:$J$21,MATCH(AF129,'Cap based on indoor unit SZ'!$I$6:$I$21))</f>
        <v>13.078888888888891</v>
      </c>
      <c r="AT129" s="170">
        <f ca="1">INDEX('Cap based on indoor unit SZ'!$J$6:$J$21,MATCH(AG129,'Cap based on indoor unit SZ'!$I$6:$I$21))</f>
        <v>13.078888888888891</v>
      </c>
      <c r="AU129" s="170">
        <f ca="1">INDEX('Cap based on indoor unit SZ'!$J$6:$J$21,MATCH(AH129,'Cap based on indoor unit SZ'!$I$6:$I$21))</f>
        <v>19.821111111111112</v>
      </c>
      <c r="AV129" s="179"/>
      <c r="AW129" s="169">
        <f t="shared" si="108"/>
        <v>47</v>
      </c>
      <c r="AX129" s="170">
        <v>9</v>
      </c>
      <c r="AY129" s="170">
        <v>11</v>
      </c>
      <c r="AZ129" s="170">
        <v>11</v>
      </c>
      <c r="BA129" s="170">
        <v>16</v>
      </c>
      <c r="BB129" s="179"/>
      <c r="BC129" s="172">
        <f t="shared" ca="1" si="146"/>
        <v>45.375555555555557</v>
      </c>
      <c r="BD129" s="173">
        <f t="shared" ca="1" si="136"/>
        <v>8.0074509803921572</v>
      </c>
      <c r="BE129" s="173">
        <f t="shared" ca="1" si="136"/>
        <v>10.676601307189543</v>
      </c>
      <c r="BF129" s="173">
        <f t="shared" ca="1" si="136"/>
        <v>10.676601307189543</v>
      </c>
      <c r="BG129" s="173">
        <f t="shared" ca="1" si="136"/>
        <v>16.014901960784314</v>
      </c>
      <c r="BH129" s="180"/>
      <c r="BI129" s="166">
        <f t="shared" ca="1" si="112"/>
        <v>54.037760683760695</v>
      </c>
      <c r="BJ129" s="167">
        <f t="shared" ca="1" si="137"/>
        <v>9.5360754147812994</v>
      </c>
      <c r="BK129" s="167">
        <f t="shared" ca="1" si="138"/>
        <v>12.714767219708399</v>
      </c>
      <c r="BL129" s="167">
        <f t="shared" ca="1" si="139"/>
        <v>12.714767219708399</v>
      </c>
      <c r="BM129" s="167">
        <f t="shared" ca="1" si="140"/>
        <v>19.072150829562599</v>
      </c>
      <c r="BN129" s="178"/>
      <c r="BO129" s="169">
        <f t="shared" ca="1" si="147"/>
        <v>66.444892307692299</v>
      </c>
      <c r="BP129" s="170">
        <f ca="1">INDEX('Cap based on indoor unit SZ'!$V$43:$V$58,MATCH(AE129,'Cap based on indoor unit SZ'!$U$43:$U$58))</f>
        <v>11.956020512820512</v>
      </c>
      <c r="BQ129" s="170">
        <f ca="1">INDEX('Cap based on indoor unit SZ'!$V$43:$V$58,MATCH(AF129,'Cap based on indoor unit SZ'!$U$43:$U$58))</f>
        <v>14.945025641025641</v>
      </c>
      <c r="BR129" s="170">
        <f ca="1">INDEX('Cap based on indoor unit SZ'!$V$43:$V$58,MATCH(AG129,'Cap based on indoor unit SZ'!$U$43:$U$58))</f>
        <v>14.945025641025641</v>
      </c>
      <c r="BS129" s="170">
        <f ca="1">INDEX('Cap based on indoor unit SZ'!$V$43:$V$58,MATCH(AH129,'Cap based on indoor unit SZ'!$U$43:$U$58))</f>
        <v>24.598820512820513</v>
      </c>
      <c r="BT129" s="179"/>
      <c r="BU129" s="175">
        <v>9500</v>
      </c>
      <c r="BV129" s="175">
        <v>11500</v>
      </c>
      <c r="BW129" s="175">
        <v>11500</v>
      </c>
      <c r="BX129" s="175">
        <v>16500</v>
      </c>
      <c r="BY129" s="179"/>
      <c r="BZ129" s="172">
        <f t="shared" ca="1" si="116"/>
        <v>54.037760683760695</v>
      </c>
      <c r="CA129" s="173">
        <f t="shared" ca="1" si="141"/>
        <v>9.5360754147812994</v>
      </c>
      <c r="CB129" s="173">
        <f t="shared" ca="1" si="142"/>
        <v>12.714767219708399</v>
      </c>
      <c r="CC129" s="173">
        <f t="shared" ca="1" si="143"/>
        <v>12.714767219708399</v>
      </c>
      <c r="CD129" s="173">
        <f t="shared" ca="1" si="144"/>
        <v>19.072150829562599</v>
      </c>
      <c r="CE129" s="180"/>
      <c r="CF129" s="166">
        <f t="shared" ca="1" si="148"/>
        <v>34.638560967605663</v>
      </c>
      <c r="CG129" s="167">
        <f t="shared" ca="1" si="149"/>
        <v>6.1126872295774701</v>
      </c>
      <c r="CH129" s="167">
        <f t="shared" ca="1" si="149"/>
        <v>8.1502496394366268</v>
      </c>
      <c r="CI129" s="167">
        <f t="shared" ca="1" si="149"/>
        <v>8.1502496394366268</v>
      </c>
      <c r="CJ129" s="167">
        <f t="shared" ca="1" si="149"/>
        <v>12.22537445915494</v>
      </c>
      <c r="CK129" s="178"/>
    </row>
    <row r="130" spans="2:89">
      <c r="B130" s="283">
        <v>36</v>
      </c>
      <c r="C130" s="285">
        <v>59</v>
      </c>
      <c r="D130" s="286"/>
      <c r="E130" s="8" t="s">
        <v>15</v>
      </c>
      <c r="F130" s="16">
        <v>23.05</v>
      </c>
      <c r="G130" s="2">
        <v>27.74</v>
      </c>
      <c r="H130" s="2">
        <v>29.78</v>
      </c>
      <c r="I130" s="2">
        <v>32.520000000000003</v>
      </c>
      <c r="J130" s="2">
        <v>35.47</v>
      </c>
      <c r="K130" s="2">
        <v>38.020000000000003</v>
      </c>
      <c r="L130" s="2">
        <v>38.619999999999997</v>
      </c>
      <c r="M130" s="2">
        <v>39.82</v>
      </c>
      <c r="N130" s="2">
        <v>41.7</v>
      </c>
      <c r="O130" s="2">
        <v>44.3</v>
      </c>
      <c r="P130" s="2">
        <v>55.02</v>
      </c>
      <c r="Q130" s="2">
        <v>60.81</v>
      </c>
      <c r="R130" s="195">
        <f t="shared" ca="1" si="131"/>
        <v>55.277333333333345</v>
      </c>
      <c r="S130" s="152"/>
      <c r="T130" s="152"/>
      <c r="U130" s="146" t="s">
        <v>96</v>
      </c>
      <c r="V130" s="147">
        <f ca="1">FORECAST(INDOOR_HEAT_DB,OFFSET(R130:R133,MATCH(INDOOR_HEAT_DB,C130:C133,1)-1,0,2),OFFSET(C130:C133,MATCH(INDOOR_HEAT_DB,C130:C133,1)-1,0,2))</f>
        <v>48.700273504273497</v>
      </c>
      <c r="W130" s="145">
        <f>B130</f>
        <v>36</v>
      </c>
      <c r="X130" s="147">
        <f ca="1">IF(OR(INDOOR_HEAT_DB&lt;C130,INDOOR_HEAT_DB&gt;C133),V132,V130)</f>
        <v>48.700273504273497</v>
      </c>
      <c r="AC130" s="164" t="s">
        <v>151</v>
      </c>
      <c r="AD130" s="164">
        <v>48</v>
      </c>
      <c r="AE130" s="165">
        <v>9</v>
      </c>
      <c r="AF130" s="165">
        <v>12</v>
      </c>
      <c r="AG130" s="165">
        <v>12</v>
      </c>
      <c r="AH130" s="165">
        <v>24</v>
      </c>
      <c r="AI130" s="165"/>
      <c r="AJ130" s="501"/>
      <c r="AK130" s="166">
        <f t="shared" ca="1" si="104"/>
        <v>45.37555555555555</v>
      </c>
      <c r="AL130" s="167">
        <f t="shared" ca="1" si="132"/>
        <v>7.1645614035087721</v>
      </c>
      <c r="AM130" s="167">
        <f t="shared" ca="1" si="133"/>
        <v>9.552748538011695</v>
      </c>
      <c r="AN130" s="167">
        <f t="shared" ca="1" si="134"/>
        <v>9.552748538011695</v>
      </c>
      <c r="AO130" s="167">
        <f t="shared" ca="1" si="135"/>
        <v>19.10549707602339</v>
      </c>
      <c r="AP130" s="178"/>
      <c r="AQ130" s="169">
        <f t="shared" ca="1" si="145"/>
        <v>61.07311111111111</v>
      </c>
      <c r="AR130" s="170">
        <f ca="1">INDEX('Cap based on indoor unit SZ'!$J$6:$J$21,MATCH(AE130,'Cap based on indoor unit SZ'!$I$6:$I$21))</f>
        <v>10.463111111111111</v>
      </c>
      <c r="AS130" s="170">
        <f ca="1">INDEX('Cap based on indoor unit SZ'!$J$6:$J$21,MATCH(AF130,'Cap based on indoor unit SZ'!$I$6:$I$21))</f>
        <v>13.078888888888891</v>
      </c>
      <c r="AT130" s="170">
        <f ca="1">INDEX('Cap based on indoor unit SZ'!$J$6:$J$21,MATCH(AG130,'Cap based on indoor unit SZ'!$I$6:$I$21))</f>
        <v>13.078888888888891</v>
      </c>
      <c r="AU130" s="170">
        <f ca="1">INDEX('Cap based on indoor unit SZ'!$J$6:$J$21,MATCH(AH130,'Cap based on indoor unit SZ'!$I$6:$I$21))</f>
        <v>24.452222222222218</v>
      </c>
      <c r="AV130" s="179"/>
      <c r="AW130" s="169">
        <f t="shared" si="108"/>
        <v>48.5</v>
      </c>
      <c r="AX130" s="170">
        <v>8.5</v>
      </c>
      <c r="AY130" s="170">
        <v>10</v>
      </c>
      <c r="AZ130" s="170">
        <v>10</v>
      </c>
      <c r="BA130" s="170">
        <v>20</v>
      </c>
      <c r="BB130" s="179"/>
      <c r="BC130" s="172">
        <f t="shared" ca="1" si="146"/>
        <v>45.37555555555555</v>
      </c>
      <c r="BD130" s="173">
        <f t="shared" ca="1" si="136"/>
        <v>7.1645614035087721</v>
      </c>
      <c r="BE130" s="173">
        <f t="shared" ca="1" si="136"/>
        <v>9.552748538011695</v>
      </c>
      <c r="BF130" s="173">
        <f t="shared" ca="1" si="136"/>
        <v>9.552748538011695</v>
      </c>
      <c r="BG130" s="173">
        <f t="shared" ca="1" si="136"/>
        <v>19.10549707602339</v>
      </c>
      <c r="BH130" s="180"/>
      <c r="BI130" s="166">
        <f t="shared" ca="1" si="112"/>
        <v>54.037760683760695</v>
      </c>
      <c r="BJ130" s="167">
        <f t="shared" ca="1" si="137"/>
        <v>8.5322780026990568</v>
      </c>
      <c r="BK130" s="167">
        <f t="shared" ca="1" si="138"/>
        <v>11.376370670265409</v>
      </c>
      <c r="BL130" s="167">
        <f t="shared" ca="1" si="139"/>
        <v>11.376370670265409</v>
      </c>
      <c r="BM130" s="167">
        <f t="shared" ca="1" si="140"/>
        <v>22.752741340530818</v>
      </c>
      <c r="BN130" s="178"/>
      <c r="BO130" s="169">
        <f t="shared" ca="1" si="147"/>
        <v>72.136071794871796</v>
      </c>
      <c r="BP130" s="170">
        <f ca="1">INDEX('Cap based on indoor unit SZ'!$V$43:$V$58,MATCH(AE130,'Cap based on indoor unit SZ'!$U$43:$U$58))</f>
        <v>11.956020512820512</v>
      </c>
      <c r="BQ130" s="170">
        <f ca="1">INDEX('Cap based on indoor unit SZ'!$V$43:$V$58,MATCH(AF130,'Cap based on indoor unit SZ'!$U$43:$U$58))</f>
        <v>14.945025641025641</v>
      </c>
      <c r="BR130" s="170">
        <f ca="1">INDEX('Cap based on indoor unit SZ'!$V$43:$V$58,MATCH(AG130,'Cap based on indoor unit SZ'!$U$43:$U$58))</f>
        <v>14.945025641025641</v>
      </c>
      <c r="BS130" s="170">
        <f ca="1">INDEX('Cap based on indoor unit SZ'!$V$43:$V$58,MATCH(AH130,'Cap based on indoor unit SZ'!$U$43:$U$58))</f>
        <v>30.290000000000003</v>
      </c>
      <c r="BT130" s="179"/>
      <c r="BU130" s="175">
        <v>9000</v>
      </c>
      <c r="BV130" s="175">
        <v>10500</v>
      </c>
      <c r="BW130" s="175">
        <v>10500</v>
      </c>
      <c r="BX130" s="175">
        <v>20500</v>
      </c>
      <c r="BY130" s="179"/>
      <c r="BZ130" s="172">
        <f t="shared" ca="1" si="116"/>
        <v>54.037760683760695</v>
      </c>
      <c r="CA130" s="173">
        <f t="shared" ca="1" si="141"/>
        <v>8.5322780026990568</v>
      </c>
      <c r="CB130" s="173">
        <f t="shared" ca="1" si="142"/>
        <v>11.376370670265409</v>
      </c>
      <c r="CC130" s="173">
        <f t="shared" ca="1" si="143"/>
        <v>11.376370670265409</v>
      </c>
      <c r="CD130" s="173">
        <f t="shared" ca="1" si="144"/>
        <v>22.752741340530818</v>
      </c>
      <c r="CE130" s="180"/>
      <c r="CF130" s="166">
        <f t="shared" ca="1" si="148"/>
        <v>34.638560967605663</v>
      </c>
      <c r="CG130" s="167">
        <f t="shared" ca="1" si="149"/>
        <v>5.4692464685693158</v>
      </c>
      <c r="CH130" s="167">
        <f t="shared" ca="1" si="149"/>
        <v>7.2923286247590866</v>
      </c>
      <c r="CI130" s="167">
        <f t="shared" ca="1" si="149"/>
        <v>7.2923286247590866</v>
      </c>
      <c r="CJ130" s="167">
        <f t="shared" ca="1" si="149"/>
        <v>14.584657249518173</v>
      </c>
      <c r="CK130" s="178"/>
    </row>
    <row r="131" spans="2:89">
      <c r="B131" s="283">
        <v>36</v>
      </c>
      <c r="C131" s="287">
        <v>64.400000000000006</v>
      </c>
      <c r="D131" s="288"/>
      <c r="E131" s="8" t="s">
        <v>15</v>
      </c>
      <c r="F131" s="16">
        <v>22.76</v>
      </c>
      <c r="G131" s="2">
        <v>27.38</v>
      </c>
      <c r="H131" s="2">
        <v>29.39</v>
      </c>
      <c r="I131" s="2">
        <v>32.08</v>
      </c>
      <c r="J131" s="2">
        <v>35.29</v>
      </c>
      <c r="K131" s="2">
        <v>37.450000000000003</v>
      </c>
      <c r="L131" s="2">
        <v>38.04</v>
      </c>
      <c r="M131" s="2">
        <v>39.22</v>
      </c>
      <c r="N131" s="2">
        <v>41.09</v>
      </c>
      <c r="O131" s="2">
        <v>43.64</v>
      </c>
      <c r="P131" s="2">
        <v>54.21</v>
      </c>
      <c r="Q131" s="2">
        <v>59.92</v>
      </c>
      <c r="R131" s="203">
        <f t="shared" ca="1" si="131"/>
        <v>54.463777777777779</v>
      </c>
      <c r="S131" s="152"/>
      <c r="T131" s="152"/>
      <c r="U131" s="146"/>
      <c r="V131" s="148"/>
      <c r="W131" s="145"/>
      <c r="X131" s="152"/>
      <c r="AC131" s="164" t="s">
        <v>150</v>
      </c>
      <c r="AD131" s="164">
        <v>48</v>
      </c>
      <c r="AE131" s="165">
        <v>9</v>
      </c>
      <c r="AF131" s="165">
        <v>12</v>
      </c>
      <c r="AG131" s="165">
        <v>18</v>
      </c>
      <c r="AH131" s="165">
        <v>18</v>
      </c>
      <c r="AI131" s="165"/>
      <c r="AJ131" s="501"/>
      <c r="AK131" s="166">
        <f t="shared" ca="1" si="104"/>
        <v>45.37555555555555</v>
      </c>
      <c r="AL131" s="167">
        <f t="shared" ca="1" si="132"/>
        <v>7.1645614035087712</v>
      </c>
      <c r="AM131" s="167">
        <f t="shared" ca="1" si="133"/>
        <v>9.552748538011695</v>
      </c>
      <c r="AN131" s="167">
        <f t="shared" ca="1" si="134"/>
        <v>14.329122807017542</v>
      </c>
      <c r="AO131" s="167">
        <f t="shared" ca="1" si="135"/>
        <v>14.329122807017542</v>
      </c>
      <c r="AP131" s="178"/>
      <c r="AQ131" s="169">
        <f t="shared" ca="1" si="145"/>
        <v>63.184222222222218</v>
      </c>
      <c r="AR131" s="170">
        <f ca="1">INDEX('Cap based on indoor unit SZ'!$J$6:$J$21,MATCH(AE131,'Cap based on indoor unit SZ'!$I$6:$I$21))</f>
        <v>10.463111111111111</v>
      </c>
      <c r="AS131" s="170">
        <f ca="1">INDEX('Cap based on indoor unit SZ'!$J$6:$J$21,MATCH(AF131,'Cap based on indoor unit SZ'!$I$6:$I$21))</f>
        <v>13.078888888888891</v>
      </c>
      <c r="AT131" s="170">
        <f ca="1">INDEX('Cap based on indoor unit SZ'!$J$6:$J$21,MATCH(AG131,'Cap based on indoor unit SZ'!$I$6:$I$21))</f>
        <v>19.821111111111112</v>
      </c>
      <c r="AU131" s="170">
        <f ca="1">INDEX('Cap based on indoor unit SZ'!$J$6:$J$21,MATCH(AH131,'Cap based on indoor unit SZ'!$I$6:$I$21))</f>
        <v>19.821111111111112</v>
      </c>
      <c r="AV131" s="179"/>
      <c r="AW131" s="169">
        <f t="shared" si="108"/>
        <v>48.5</v>
      </c>
      <c r="AX131" s="170">
        <v>8.5</v>
      </c>
      <c r="AY131" s="170">
        <v>10</v>
      </c>
      <c r="AZ131" s="170">
        <v>15</v>
      </c>
      <c r="BA131" s="170">
        <v>15</v>
      </c>
      <c r="BB131" s="179"/>
      <c r="BC131" s="172">
        <f t="shared" ca="1" si="146"/>
        <v>45.37555555555555</v>
      </c>
      <c r="BD131" s="173">
        <f t="shared" ca="1" si="136"/>
        <v>7.1645614035087712</v>
      </c>
      <c r="BE131" s="173">
        <f t="shared" ca="1" si="136"/>
        <v>9.552748538011695</v>
      </c>
      <c r="BF131" s="173">
        <f t="shared" ca="1" si="136"/>
        <v>14.329122807017542</v>
      </c>
      <c r="BG131" s="173">
        <f t="shared" ca="1" si="136"/>
        <v>14.329122807017542</v>
      </c>
      <c r="BH131" s="180"/>
      <c r="BI131" s="166">
        <f t="shared" ca="1" si="112"/>
        <v>54.037760683760695</v>
      </c>
      <c r="BJ131" s="167">
        <f t="shared" ca="1" si="137"/>
        <v>8.5322780026990568</v>
      </c>
      <c r="BK131" s="167">
        <f t="shared" ca="1" si="138"/>
        <v>11.376370670265409</v>
      </c>
      <c r="BL131" s="167">
        <f t="shared" ca="1" si="139"/>
        <v>17.064556005398114</v>
      </c>
      <c r="BM131" s="167">
        <f t="shared" ca="1" si="140"/>
        <v>17.064556005398114</v>
      </c>
      <c r="BN131" s="178"/>
      <c r="BO131" s="169">
        <f t="shared" ca="1" si="147"/>
        <v>76.098687179487172</v>
      </c>
      <c r="BP131" s="170">
        <f ca="1">INDEX('Cap based on indoor unit SZ'!$V$43:$V$58,MATCH(AE131,'Cap based on indoor unit SZ'!$U$43:$U$58))</f>
        <v>11.956020512820512</v>
      </c>
      <c r="BQ131" s="170">
        <f ca="1">INDEX('Cap based on indoor unit SZ'!$V$43:$V$58,MATCH(AF131,'Cap based on indoor unit SZ'!$U$43:$U$58))</f>
        <v>14.945025641025641</v>
      </c>
      <c r="BR131" s="170">
        <f ca="1">INDEX('Cap based on indoor unit SZ'!$V$43:$V$58,MATCH(AG131,'Cap based on indoor unit SZ'!$U$43:$U$58))</f>
        <v>24.598820512820513</v>
      </c>
      <c r="BS131" s="170">
        <f ca="1">INDEX('Cap based on indoor unit SZ'!$V$43:$V$58,MATCH(AH131,'Cap based on indoor unit SZ'!$U$43:$U$58))</f>
        <v>24.598820512820513</v>
      </c>
      <c r="BT131" s="179"/>
      <c r="BU131" s="175">
        <v>9000</v>
      </c>
      <c r="BV131" s="175">
        <v>10500</v>
      </c>
      <c r="BW131" s="175">
        <v>15500</v>
      </c>
      <c r="BX131" s="175">
        <v>15500</v>
      </c>
      <c r="BY131" s="179"/>
      <c r="BZ131" s="172">
        <f t="shared" ca="1" si="116"/>
        <v>54.037760683760695</v>
      </c>
      <c r="CA131" s="173">
        <f t="shared" ca="1" si="141"/>
        <v>8.5322780026990568</v>
      </c>
      <c r="CB131" s="173">
        <f t="shared" ca="1" si="142"/>
        <v>11.376370670265409</v>
      </c>
      <c r="CC131" s="173">
        <f t="shared" ca="1" si="143"/>
        <v>17.064556005398114</v>
      </c>
      <c r="CD131" s="173">
        <f t="shared" ca="1" si="144"/>
        <v>17.064556005398114</v>
      </c>
      <c r="CE131" s="180"/>
      <c r="CF131" s="166">
        <f t="shared" ca="1" si="148"/>
        <v>34.638560967605656</v>
      </c>
      <c r="CG131" s="167">
        <f t="shared" ca="1" si="149"/>
        <v>5.469246468569315</v>
      </c>
      <c r="CH131" s="167">
        <f t="shared" ca="1" si="149"/>
        <v>7.2923286247590866</v>
      </c>
      <c r="CI131" s="167">
        <f t="shared" ca="1" si="149"/>
        <v>10.93849293713863</v>
      </c>
      <c r="CJ131" s="167">
        <f t="shared" ca="1" si="149"/>
        <v>10.93849293713863</v>
      </c>
      <c r="CK131" s="178"/>
    </row>
    <row r="132" spans="2:89">
      <c r="B132" s="283">
        <v>36</v>
      </c>
      <c r="C132" s="289">
        <v>69</v>
      </c>
      <c r="D132" s="290"/>
      <c r="E132" s="8" t="s">
        <v>15</v>
      </c>
      <c r="F132" s="16">
        <v>22.29</v>
      </c>
      <c r="G132" s="2">
        <v>26.8</v>
      </c>
      <c r="H132" s="2">
        <v>28.1</v>
      </c>
      <c r="I132" s="2">
        <v>30.75</v>
      </c>
      <c r="J132" s="2">
        <v>35.14</v>
      </c>
      <c r="K132" s="2">
        <v>36.21</v>
      </c>
      <c r="L132" s="2">
        <v>36.53</v>
      </c>
      <c r="M132" s="2">
        <v>38.49</v>
      </c>
      <c r="N132" s="2">
        <v>41.03</v>
      </c>
      <c r="O132" s="2">
        <v>44.96</v>
      </c>
      <c r="P132" s="2">
        <v>48.91</v>
      </c>
      <c r="Q132" s="2">
        <v>52.62</v>
      </c>
      <c r="R132" s="203">
        <f t="shared" ca="1" si="131"/>
        <v>49.074888888888893</v>
      </c>
      <c r="S132" s="152"/>
      <c r="T132" s="152"/>
      <c r="U132" s="146" t="s">
        <v>97</v>
      </c>
      <c r="V132" s="147">
        <f ca="1">TREND(R130:R133,C130:C133,INDOOR_HEAT_DB)</f>
        <v>49.227319118073702</v>
      </c>
      <c r="W132" s="145"/>
      <c r="X132" s="152"/>
      <c r="AC132" s="164" t="s">
        <v>149</v>
      </c>
      <c r="AD132" s="164">
        <v>48</v>
      </c>
      <c r="AE132" s="165">
        <v>9</v>
      </c>
      <c r="AF132" s="165">
        <v>18</v>
      </c>
      <c r="AG132" s="165">
        <v>18</v>
      </c>
      <c r="AH132" s="165">
        <v>18</v>
      </c>
      <c r="AI132" s="165"/>
      <c r="AJ132" s="501"/>
      <c r="AK132" s="166">
        <f t="shared" ca="1" si="104"/>
        <v>45.37555555555555</v>
      </c>
      <c r="AL132" s="167">
        <f t="shared" ca="1" si="132"/>
        <v>6.4822222222222212</v>
      </c>
      <c r="AM132" s="167">
        <f t="shared" ca="1" si="133"/>
        <v>12.964444444444442</v>
      </c>
      <c r="AN132" s="167">
        <f t="shared" ca="1" si="134"/>
        <v>12.964444444444442</v>
      </c>
      <c r="AO132" s="167">
        <f t="shared" ca="1" si="135"/>
        <v>12.964444444444442</v>
      </c>
      <c r="AP132" s="178"/>
      <c r="AQ132" s="169">
        <f t="shared" ca="1" si="145"/>
        <v>69.926444444444442</v>
      </c>
      <c r="AR132" s="170">
        <f ca="1">INDEX('Cap based on indoor unit SZ'!$J$6:$J$21,MATCH(AE132,'Cap based on indoor unit SZ'!$I$6:$I$21))</f>
        <v>10.463111111111111</v>
      </c>
      <c r="AS132" s="170">
        <f ca="1">INDEX('Cap based on indoor unit SZ'!$J$6:$J$21,MATCH(AF132,'Cap based on indoor unit SZ'!$I$6:$I$21))</f>
        <v>19.821111111111112</v>
      </c>
      <c r="AT132" s="170">
        <f ca="1">INDEX('Cap based on indoor unit SZ'!$J$6:$J$21,MATCH(AG132,'Cap based on indoor unit SZ'!$I$6:$I$21))</f>
        <v>19.821111111111112</v>
      </c>
      <c r="AU132" s="170">
        <f ca="1">INDEX('Cap based on indoor unit SZ'!$J$6:$J$21,MATCH(AH132,'Cap based on indoor unit SZ'!$I$6:$I$21))</f>
        <v>19.821111111111112</v>
      </c>
      <c r="AV132" s="179"/>
      <c r="AW132" s="169">
        <f t="shared" si="108"/>
        <v>50</v>
      </c>
      <c r="AX132" s="170">
        <v>8</v>
      </c>
      <c r="AY132" s="170">
        <v>14</v>
      </c>
      <c r="AZ132" s="170">
        <v>14</v>
      </c>
      <c r="BA132" s="170">
        <v>14</v>
      </c>
      <c r="BB132" s="179"/>
      <c r="BC132" s="172">
        <f t="shared" ca="1" si="146"/>
        <v>45.37555555555555</v>
      </c>
      <c r="BD132" s="173">
        <f t="shared" ca="1" si="136"/>
        <v>6.4822222222222212</v>
      </c>
      <c r="BE132" s="173">
        <f t="shared" ca="1" si="136"/>
        <v>12.964444444444442</v>
      </c>
      <c r="BF132" s="173">
        <f t="shared" ca="1" si="136"/>
        <v>12.964444444444442</v>
      </c>
      <c r="BG132" s="173">
        <f t="shared" ca="1" si="136"/>
        <v>12.964444444444442</v>
      </c>
      <c r="BH132" s="180"/>
      <c r="BI132" s="166">
        <f t="shared" ca="1" si="112"/>
        <v>54.037760683760688</v>
      </c>
      <c r="BJ132" s="167">
        <f t="shared" ca="1" si="137"/>
        <v>7.7196800976800981</v>
      </c>
      <c r="BK132" s="167">
        <f t="shared" ca="1" si="138"/>
        <v>15.439360195360196</v>
      </c>
      <c r="BL132" s="167">
        <f t="shared" ca="1" si="139"/>
        <v>15.439360195360196</v>
      </c>
      <c r="BM132" s="167">
        <f t="shared" ca="1" si="140"/>
        <v>15.439360195360196</v>
      </c>
      <c r="BN132" s="178"/>
      <c r="BO132" s="169">
        <f t="shared" ca="1" si="147"/>
        <v>85.752482051282044</v>
      </c>
      <c r="BP132" s="170">
        <f ca="1">INDEX('Cap based on indoor unit SZ'!$V$43:$V$58,MATCH(AE132,'Cap based on indoor unit SZ'!$U$43:$U$58))</f>
        <v>11.956020512820512</v>
      </c>
      <c r="BQ132" s="170">
        <f ca="1">INDEX('Cap based on indoor unit SZ'!$V$43:$V$58,MATCH(AF132,'Cap based on indoor unit SZ'!$U$43:$U$58))</f>
        <v>24.598820512820513</v>
      </c>
      <c r="BR132" s="170">
        <f ca="1">INDEX('Cap based on indoor unit SZ'!$V$43:$V$58,MATCH(AG132,'Cap based on indoor unit SZ'!$U$43:$U$58))</f>
        <v>24.598820512820513</v>
      </c>
      <c r="BS132" s="170">
        <f ca="1">INDEX('Cap based on indoor unit SZ'!$V$43:$V$58,MATCH(AH132,'Cap based on indoor unit SZ'!$U$43:$U$58))</f>
        <v>24.598820512820513</v>
      </c>
      <c r="BT132" s="179"/>
      <c r="BU132" s="175">
        <v>8500</v>
      </c>
      <c r="BV132" s="175">
        <v>14500</v>
      </c>
      <c r="BW132" s="175">
        <v>14500</v>
      </c>
      <c r="BX132" s="175">
        <v>14500</v>
      </c>
      <c r="BY132" s="179"/>
      <c r="BZ132" s="172">
        <f t="shared" ca="1" si="116"/>
        <v>54.037760683760688</v>
      </c>
      <c r="CA132" s="173">
        <f t="shared" ca="1" si="141"/>
        <v>7.7196800976800981</v>
      </c>
      <c r="CB132" s="173">
        <f t="shared" ca="1" si="142"/>
        <v>15.439360195360196</v>
      </c>
      <c r="CC132" s="173">
        <f t="shared" ca="1" si="143"/>
        <v>15.439360195360196</v>
      </c>
      <c r="CD132" s="173">
        <f t="shared" ca="1" si="144"/>
        <v>15.439360195360196</v>
      </c>
      <c r="CE132" s="180"/>
      <c r="CF132" s="166">
        <f t="shared" ca="1" si="148"/>
        <v>34.638560967605656</v>
      </c>
      <c r="CG132" s="167">
        <f t="shared" ca="1" si="149"/>
        <v>4.948365852515094</v>
      </c>
      <c r="CH132" s="167">
        <f t="shared" ca="1" si="149"/>
        <v>9.896731705030188</v>
      </c>
      <c r="CI132" s="167">
        <f t="shared" ca="1" si="149"/>
        <v>9.896731705030188</v>
      </c>
      <c r="CJ132" s="167">
        <f t="shared" ca="1" si="149"/>
        <v>9.896731705030188</v>
      </c>
      <c r="CK132" s="178"/>
    </row>
    <row r="133" spans="2:89" ht="14.4" thickBot="1">
      <c r="B133" s="283">
        <v>36</v>
      </c>
      <c r="C133" s="285">
        <v>71.599999999999994</v>
      </c>
      <c r="D133" s="286"/>
      <c r="E133" s="8" t="s">
        <v>15</v>
      </c>
      <c r="F133" s="16">
        <v>21.9</v>
      </c>
      <c r="G133" s="2">
        <v>26.32</v>
      </c>
      <c r="H133" s="2">
        <v>27.6</v>
      </c>
      <c r="I133" s="2">
        <v>30.2</v>
      </c>
      <c r="J133" s="2">
        <v>34.520000000000003</v>
      </c>
      <c r="K133" s="2">
        <v>35.479999999999997</v>
      </c>
      <c r="L133" s="2">
        <v>35.799999999999997</v>
      </c>
      <c r="M133" s="2">
        <v>37.72</v>
      </c>
      <c r="N133" s="2">
        <v>40.200000000000003</v>
      </c>
      <c r="O133" s="2">
        <v>44.06</v>
      </c>
      <c r="P133" s="2">
        <v>47.94</v>
      </c>
      <c r="Q133" s="2">
        <v>51.56</v>
      </c>
      <c r="R133" s="211">
        <f t="shared" ca="1" si="131"/>
        <v>48.100888888888889</v>
      </c>
      <c r="S133" s="152"/>
      <c r="T133" s="152"/>
      <c r="U133" s="146"/>
      <c r="V133" s="152"/>
      <c r="W133" s="152"/>
      <c r="X133" s="152"/>
      <c r="AC133" s="164" t="s">
        <v>148</v>
      </c>
      <c r="AD133" s="164">
        <v>48</v>
      </c>
      <c r="AE133" s="165">
        <v>12</v>
      </c>
      <c r="AF133" s="165">
        <v>12</v>
      </c>
      <c r="AG133" s="165">
        <v>12</v>
      </c>
      <c r="AH133" s="165">
        <v>12</v>
      </c>
      <c r="AI133" s="165"/>
      <c r="AJ133" s="501"/>
      <c r="AK133" s="166">
        <f t="shared" ca="1" si="104"/>
        <v>45.37555555555555</v>
      </c>
      <c r="AL133" s="167">
        <f t="shared" ca="1" si="132"/>
        <v>11.343888888888888</v>
      </c>
      <c r="AM133" s="167">
        <f t="shared" ca="1" si="133"/>
        <v>11.343888888888888</v>
      </c>
      <c r="AN133" s="167">
        <f t="shared" ca="1" si="134"/>
        <v>11.343888888888888</v>
      </c>
      <c r="AO133" s="167">
        <f t="shared" ca="1" si="135"/>
        <v>11.343888888888888</v>
      </c>
      <c r="AP133" s="178"/>
      <c r="AQ133" s="169">
        <f t="shared" ca="1" si="145"/>
        <v>52.315555555555562</v>
      </c>
      <c r="AR133" s="170">
        <f ca="1">INDEX('Cap based on indoor unit SZ'!$J$6:$J$21,MATCH(AE133,'Cap based on indoor unit SZ'!$I$6:$I$21))</f>
        <v>13.078888888888891</v>
      </c>
      <c r="AS133" s="170">
        <f ca="1">INDEX('Cap based on indoor unit SZ'!$J$6:$J$21,MATCH(AF133,'Cap based on indoor unit SZ'!$I$6:$I$21))</f>
        <v>13.078888888888891</v>
      </c>
      <c r="AT133" s="170">
        <f ca="1">INDEX('Cap based on indoor unit SZ'!$J$6:$J$21,MATCH(AG133,'Cap based on indoor unit SZ'!$I$6:$I$21))</f>
        <v>13.078888888888891</v>
      </c>
      <c r="AU133" s="170">
        <f ca="1">INDEX('Cap based on indoor unit SZ'!$J$6:$J$21,MATCH(AH133,'Cap based on indoor unit SZ'!$I$6:$I$21))</f>
        <v>13.078888888888891</v>
      </c>
      <c r="AV133" s="179"/>
      <c r="AW133" s="169">
        <f t="shared" si="108"/>
        <v>48</v>
      </c>
      <c r="AX133" s="170">
        <v>12</v>
      </c>
      <c r="AY133" s="170">
        <v>12</v>
      </c>
      <c r="AZ133" s="170">
        <v>12</v>
      </c>
      <c r="BA133" s="170">
        <v>12</v>
      </c>
      <c r="BB133" s="179"/>
      <c r="BC133" s="172">
        <f t="shared" ca="1" si="146"/>
        <v>45.37555555555555</v>
      </c>
      <c r="BD133" s="173">
        <f t="shared" ca="1" si="136"/>
        <v>11.343888888888888</v>
      </c>
      <c r="BE133" s="173">
        <f t="shared" ca="1" si="136"/>
        <v>11.343888888888888</v>
      </c>
      <c r="BF133" s="173">
        <f t="shared" ca="1" si="136"/>
        <v>11.343888888888888</v>
      </c>
      <c r="BG133" s="173">
        <f t="shared" ca="1" si="136"/>
        <v>11.343888888888888</v>
      </c>
      <c r="BH133" s="180"/>
      <c r="BI133" s="166">
        <f t="shared" ca="1" si="112"/>
        <v>54.037760683760695</v>
      </c>
      <c r="BJ133" s="167">
        <f t="shared" ca="1" si="137"/>
        <v>13.509440170940174</v>
      </c>
      <c r="BK133" s="167">
        <f t="shared" ca="1" si="138"/>
        <v>13.509440170940174</v>
      </c>
      <c r="BL133" s="167">
        <f t="shared" ca="1" si="139"/>
        <v>13.509440170940174</v>
      </c>
      <c r="BM133" s="167">
        <f t="shared" ca="1" si="140"/>
        <v>13.509440170940174</v>
      </c>
      <c r="BN133" s="178"/>
      <c r="BO133" s="169">
        <f t="shared" ca="1" si="147"/>
        <v>59.780102564102563</v>
      </c>
      <c r="BP133" s="170">
        <f ca="1">INDEX('Cap based on indoor unit SZ'!$V$43:$V$58,MATCH(AE133,'Cap based on indoor unit SZ'!$U$43:$U$58))</f>
        <v>14.945025641025641</v>
      </c>
      <c r="BQ133" s="170">
        <f ca="1">INDEX('Cap based on indoor unit SZ'!$V$43:$V$58,MATCH(AF133,'Cap based on indoor unit SZ'!$U$43:$U$58))</f>
        <v>14.945025641025641</v>
      </c>
      <c r="BR133" s="170">
        <f ca="1">INDEX('Cap based on indoor unit SZ'!$V$43:$V$58,MATCH(AG133,'Cap based on indoor unit SZ'!$U$43:$U$58))</f>
        <v>14.945025641025641</v>
      </c>
      <c r="BS133" s="170">
        <f ca="1">INDEX('Cap based on indoor unit SZ'!$V$43:$V$58,MATCH(AH133,'Cap based on indoor unit SZ'!$U$43:$U$58))</f>
        <v>14.945025641025641</v>
      </c>
      <c r="BT133" s="179"/>
      <c r="BU133" s="175">
        <v>12500</v>
      </c>
      <c r="BV133" s="175">
        <v>12500</v>
      </c>
      <c r="BW133" s="175">
        <v>12500</v>
      </c>
      <c r="BX133" s="175">
        <v>12500</v>
      </c>
      <c r="BY133" s="179"/>
      <c r="BZ133" s="172">
        <f t="shared" ca="1" si="116"/>
        <v>54.037760683760695</v>
      </c>
      <c r="CA133" s="173">
        <f t="shared" ca="1" si="141"/>
        <v>13.509440170940174</v>
      </c>
      <c r="CB133" s="173">
        <f t="shared" ca="1" si="142"/>
        <v>13.509440170940174</v>
      </c>
      <c r="CC133" s="173">
        <f t="shared" ca="1" si="143"/>
        <v>13.509440170940174</v>
      </c>
      <c r="CD133" s="173">
        <f t="shared" ca="1" si="144"/>
        <v>13.509440170940174</v>
      </c>
      <c r="CE133" s="180"/>
      <c r="CF133" s="166">
        <f t="shared" ca="1" si="148"/>
        <v>34.638560967605663</v>
      </c>
      <c r="CG133" s="167">
        <f t="shared" ca="1" si="149"/>
        <v>8.6596402419014158</v>
      </c>
      <c r="CH133" s="167">
        <f t="shared" ca="1" si="149"/>
        <v>8.6596402419014158</v>
      </c>
      <c r="CI133" s="167">
        <f t="shared" ca="1" si="149"/>
        <v>8.6596402419014158</v>
      </c>
      <c r="CJ133" s="167">
        <f t="shared" ca="1" si="149"/>
        <v>8.6596402419014158</v>
      </c>
      <c r="CK133" s="178"/>
    </row>
    <row r="134" spans="2:89">
      <c r="B134" s="283">
        <v>48</v>
      </c>
      <c r="C134" s="287">
        <v>59</v>
      </c>
      <c r="D134" s="288"/>
      <c r="E134" s="8" t="s">
        <v>15</v>
      </c>
      <c r="F134" s="16">
        <v>23.2</v>
      </c>
      <c r="G134" s="2">
        <v>27.92</v>
      </c>
      <c r="H134" s="2">
        <v>29.97</v>
      </c>
      <c r="I134" s="2">
        <v>32.729999999999997</v>
      </c>
      <c r="J134" s="2">
        <v>36.700000000000003</v>
      </c>
      <c r="K134" s="2">
        <v>38.26</v>
      </c>
      <c r="L134" s="2">
        <v>38.86</v>
      </c>
      <c r="M134" s="2">
        <v>40.07</v>
      </c>
      <c r="N134" s="2">
        <v>41.97</v>
      </c>
      <c r="O134" s="2">
        <v>44.58</v>
      </c>
      <c r="P134" s="2">
        <v>55.37</v>
      </c>
      <c r="Q134" s="2">
        <v>65.489999999999995</v>
      </c>
      <c r="R134" s="203">
        <f t="shared" ca="1" si="131"/>
        <v>55.819777777777766</v>
      </c>
      <c r="S134" s="152"/>
      <c r="T134" s="152"/>
      <c r="U134" s="146" t="s">
        <v>96</v>
      </c>
      <c r="V134" s="147">
        <f ca="1">FORECAST(INDOOR_HEAT_DB,OFFSET(R134:R137,MATCH(INDOOR_HEAT_DB,C134:C137,1)-1,0,2),OFFSET(C134:C137,MATCH(INDOOR_HEAT_DB,C134:C137,1)-1,0,2))</f>
        <v>54.037760683760688</v>
      </c>
      <c r="W134" s="145">
        <f>B134</f>
        <v>48</v>
      </c>
      <c r="X134" s="147">
        <f ca="1">IF(OR(INDOOR_HEAT_DB&lt;C134,INDOOR_HEAT_DB&gt;C137),V136,V134)</f>
        <v>54.037760683760688</v>
      </c>
      <c r="AC134" s="164" t="s">
        <v>147</v>
      </c>
      <c r="AD134" s="164">
        <v>48</v>
      </c>
      <c r="AE134" s="165">
        <v>12</v>
      </c>
      <c r="AF134" s="165">
        <v>12</v>
      </c>
      <c r="AG134" s="165">
        <v>12</v>
      </c>
      <c r="AH134" s="165">
        <v>18</v>
      </c>
      <c r="AI134" s="165"/>
      <c r="AJ134" s="501"/>
      <c r="AK134" s="166">
        <f t="shared" ca="1" si="104"/>
        <v>45.375555555555543</v>
      </c>
      <c r="AL134" s="167">
        <f t="shared" ca="1" si="132"/>
        <v>10.083456790123455</v>
      </c>
      <c r="AM134" s="167">
        <f t="shared" ca="1" si="133"/>
        <v>10.083456790123455</v>
      </c>
      <c r="AN134" s="167">
        <f t="shared" ca="1" si="134"/>
        <v>10.083456790123455</v>
      </c>
      <c r="AO134" s="167">
        <f t="shared" ca="1" si="135"/>
        <v>15.125185185185183</v>
      </c>
      <c r="AP134" s="178"/>
      <c r="AQ134" s="169">
        <f t="shared" ca="1" si="145"/>
        <v>59.057777777777787</v>
      </c>
      <c r="AR134" s="170">
        <f ca="1">INDEX('Cap based on indoor unit SZ'!$J$6:$J$21,MATCH(AE134,'Cap based on indoor unit SZ'!$I$6:$I$21))</f>
        <v>13.078888888888891</v>
      </c>
      <c r="AS134" s="170">
        <f ca="1">INDEX('Cap based on indoor unit SZ'!$J$6:$J$21,MATCH(AF134,'Cap based on indoor unit SZ'!$I$6:$I$21))</f>
        <v>13.078888888888891</v>
      </c>
      <c r="AT134" s="170">
        <f ca="1">INDEX('Cap based on indoor unit SZ'!$J$6:$J$21,MATCH(AG134,'Cap based on indoor unit SZ'!$I$6:$I$21))</f>
        <v>13.078888888888891</v>
      </c>
      <c r="AU134" s="170">
        <f ca="1">INDEX('Cap based on indoor unit SZ'!$J$6:$J$21,MATCH(AH134,'Cap based on indoor unit SZ'!$I$6:$I$21))</f>
        <v>19.821111111111112</v>
      </c>
      <c r="AV134" s="179"/>
      <c r="AW134" s="169">
        <f t="shared" si="108"/>
        <v>49</v>
      </c>
      <c r="AX134" s="170">
        <v>11</v>
      </c>
      <c r="AY134" s="170">
        <v>11</v>
      </c>
      <c r="AZ134" s="170">
        <v>11</v>
      </c>
      <c r="BA134" s="170">
        <v>16</v>
      </c>
      <c r="BB134" s="179"/>
      <c r="BC134" s="172">
        <f t="shared" ca="1" si="146"/>
        <v>45.375555555555543</v>
      </c>
      <c r="BD134" s="173">
        <f t="shared" ca="1" si="136"/>
        <v>10.083456790123455</v>
      </c>
      <c r="BE134" s="173">
        <f t="shared" ca="1" si="136"/>
        <v>10.083456790123455</v>
      </c>
      <c r="BF134" s="173">
        <f t="shared" ca="1" si="136"/>
        <v>10.083456790123455</v>
      </c>
      <c r="BG134" s="173">
        <f t="shared" ca="1" si="136"/>
        <v>15.125185185185183</v>
      </c>
      <c r="BH134" s="180"/>
      <c r="BI134" s="166">
        <f t="shared" ca="1" si="112"/>
        <v>54.037760683760688</v>
      </c>
      <c r="BJ134" s="167">
        <f t="shared" ca="1" si="137"/>
        <v>12.008391263057931</v>
      </c>
      <c r="BK134" s="167">
        <f t="shared" ca="1" si="138"/>
        <v>12.008391263057931</v>
      </c>
      <c r="BL134" s="167">
        <f t="shared" ca="1" si="139"/>
        <v>12.008391263057931</v>
      </c>
      <c r="BM134" s="167">
        <f t="shared" ca="1" si="140"/>
        <v>18.012586894586896</v>
      </c>
      <c r="BN134" s="178"/>
      <c r="BO134" s="169">
        <f t="shared" ca="1" si="147"/>
        <v>69.433897435897435</v>
      </c>
      <c r="BP134" s="170">
        <f ca="1">INDEX('Cap based on indoor unit SZ'!$V$43:$V$58,MATCH(AE134,'Cap based on indoor unit SZ'!$U$43:$U$58))</f>
        <v>14.945025641025641</v>
      </c>
      <c r="BQ134" s="170">
        <f ca="1">INDEX('Cap based on indoor unit SZ'!$V$43:$V$58,MATCH(AF134,'Cap based on indoor unit SZ'!$U$43:$U$58))</f>
        <v>14.945025641025641</v>
      </c>
      <c r="BR134" s="170">
        <f ca="1">INDEX('Cap based on indoor unit SZ'!$V$43:$V$58,MATCH(AG134,'Cap based on indoor unit SZ'!$U$43:$U$58))</f>
        <v>14.945025641025641</v>
      </c>
      <c r="BS134" s="170">
        <f ca="1">INDEX('Cap based on indoor unit SZ'!$V$43:$V$58,MATCH(AH134,'Cap based on indoor unit SZ'!$U$43:$U$58))</f>
        <v>24.598820512820513</v>
      </c>
      <c r="BT134" s="179"/>
      <c r="BU134" s="175">
        <v>11500</v>
      </c>
      <c r="BV134" s="175">
        <v>11500</v>
      </c>
      <c r="BW134" s="175">
        <v>11500</v>
      </c>
      <c r="BX134" s="175">
        <v>16500</v>
      </c>
      <c r="BY134" s="179"/>
      <c r="BZ134" s="172">
        <f t="shared" ca="1" si="116"/>
        <v>54.037760683760688</v>
      </c>
      <c r="CA134" s="173">
        <f t="shared" ca="1" si="141"/>
        <v>12.008391263057931</v>
      </c>
      <c r="CB134" s="173">
        <f t="shared" ca="1" si="142"/>
        <v>12.008391263057931</v>
      </c>
      <c r="CC134" s="173">
        <f t="shared" ca="1" si="143"/>
        <v>12.008391263057931</v>
      </c>
      <c r="CD134" s="173">
        <f t="shared" ca="1" si="144"/>
        <v>18.012586894586896</v>
      </c>
      <c r="CE134" s="180"/>
      <c r="CF134" s="166">
        <f t="shared" ca="1" si="148"/>
        <v>34.638560967605656</v>
      </c>
      <c r="CG134" s="167">
        <f t="shared" ca="1" si="149"/>
        <v>7.6974579928012572</v>
      </c>
      <c r="CH134" s="167">
        <f t="shared" ca="1" si="149"/>
        <v>7.6974579928012572</v>
      </c>
      <c r="CI134" s="167">
        <f t="shared" ca="1" si="149"/>
        <v>7.6974579928012572</v>
      </c>
      <c r="CJ134" s="167">
        <f t="shared" ca="1" si="149"/>
        <v>11.546186989201887</v>
      </c>
      <c r="CK134" s="178"/>
    </row>
    <row r="135" spans="2:89">
      <c r="B135" s="284">
        <v>48</v>
      </c>
      <c r="C135" s="289">
        <v>64.400000000000006</v>
      </c>
      <c r="D135" s="290"/>
      <c r="E135" s="8" t="s">
        <v>15</v>
      </c>
      <c r="F135" s="16">
        <v>22.94</v>
      </c>
      <c r="G135" s="2">
        <v>27.6</v>
      </c>
      <c r="H135" s="2">
        <v>29.63</v>
      </c>
      <c r="I135" s="2">
        <v>32.340000000000003</v>
      </c>
      <c r="J135" s="2">
        <v>36.270000000000003</v>
      </c>
      <c r="K135" s="2">
        <v>37.75</v>
      </c>
      <c r="L135" s="2">
        <v>38.35</v>
      </c>
      <c r="M135" s="2">
        <v>39.54</v>
      </c>
      <c r="N135" s="2">
        <v>41.42</v>
      </c>
      <c r="O135" s="2">
        <v>43.99</v>
      </c>
      <c r="P135" s="2">
        <v>54.64</v>
      </c>
      <c r="Q135" s="2">
        <v>64.5</v>
      </c>
      <c r="R135" s="203">
        <f t="shared" ca="1" si="131"/>
        <v>55.078222222222216</v>
      </c>
      <c r="S135" s="152"/>
      <c r="T135" s="152"/>
      <c r="U135" s="146"/>
      <c r="V135" s="148"/>
      <c r="W135" s="145"/>
      <c r="X135" s="152"/>
      <c r="AC135" s="164" t="s">
        <v>146</v>
      </c>
      <c r="AD135" s="164">
        <v>48</v>
      </c>
      <c r="AE135" s="165">
        <v>12</v>
      </c>
      <c r="AF135" s="165">
        <v>12</v>
      </c>
      <c r="AG135" s="165">
        <v>12</v>
      </c>
      <c r="AH135" s="165">
        <v>24</v>
      </c>
      <c r="AI135" s="165"/>
      <c r="AJ135" s="501"/>
      <c r="AK135" s="166">
        <f t="shared" ca="1" si="104"/>
        <v>45.37555555555555</v>
      </c>
      <c r="AL135" s="167">
        <f t="shared" ca="1" si="132"/>
        <v>9.0751111111111094</v>
      </c>
      <c r="AM135" s="167">
        <f t="shared" ca="1" si="133"/>
        <v>9.0751111111111094</v>
      </c>
      <c r="AN135" s="167">
        <f t="shared" ca="1" si="134"/>
        <v>9.0751111111111094</v>
      </c>
      <c r="AO135" s="167">
        <f t="shared" ca="1" si="135"/>
        <v>18.150222222222219</v>
      </c>
      <c r="AP135" s="178"/>
      <c r="AQ135" s="169">
        <f t="shared" ca="1" si="145"/>
        <v>63.68888888888889</v>
      </c>
      <c r="AR135" s="170">
        <f ca="1">INDEX('Cap based on indoor unit SZ'!$J$6:$J$21,MATCH(AE135,'Cap based on indoor unit SZ'!$I$6:$I$21))</f>
        <v>13.078888888888891</v>
      </c>
      <c r="AS135" s="170">
        <f ca="1">INDEX('Cap based on indoor unit SZ'!$J$6:$J$21,MATCH(AF135,'Cap based on indoor unit SZ'!$I$6:$I$21))</f>
        <v>13.078888888888891</v>
      </c>
      <c r="AT135" s="170">
        <f ca="1">INDEX('Cap based on indoor unit SZ'!$J$6:$J$21,MATCH(AG135,'Cap based on indoor unit SZ'!$I$6:$I$21))</f>
        <v>13.078888888888891</v>
      </c>
      <c r="AU135" s="170">
        <f ca="1">INDEX('Cap based on indoor unit SZ'!$J$6:$J$21,MATCH(AH135,'Cap based on indoor unit SZ'!$I$6:$I$21))</f>
        <v>24.452222222222218</v>
      </c>
      <c r="AV135" s="179"/>
      <c r="AW135" s="169">
        <f t="shared" si="108"/>
        <v>50</v>
      </c>
      <c r="AX135" s="170">
        <v>10</v>
      </c>
      <c r="AY135" s="170">
        <v>10</v>
      </c>
      <c r="AZ135" s="170">
        <v>10</v>
      </c>
      <c r="BA135" s="170">
        <v>20</v>
      </c>
      <c r="BB135" s="179"/>
      <c r="BC135" s="172">
        <f t="shared" ca="1" si="146"/>
        <v>45.37555555555555</v>
      </c>
      <c r="BD135" s="173">
        <f t="shared" ca="1" si="136"/>
        <v>9.0751111111111094</v>
      </c>
      <c r="BE135" s="173">
        <f t="shared" ca="1" si="136"/>
        <v>9.0751111111111094</v>
      </c>
      <c r="BF135" s="173">
        <f t="shared" ca="1" si="136"/>
        <v>9.0751111111111094</v>
      </c>
      <c r="BG135" s="173">
        <f t="shared" ca="1" si="136"/>
        <v>18.150222222222219</v>
      </c>
      <c r="BH135" s="180"/>
      <c r="BI135" s="166">
        <f t="shared" ca="1" si="112"/>
        <v>54.037760683760695</v>
      </c>
      <c r="BJ135" s="167">
        <f t="shared" ca="1" si="137"/>
        <v>10.807552136752138</v>
      </c>
      <c r="BK135" s="167">
        <f t="shared" ca="1" si="138"/>
        <v>10.807552136752138</v>
      </c>
      <c r="BL135" s="167">
        <f t="shared" ca="1" si="139"/>
        <v>10.807552136752138</v>
      </c>
      <c r="BM135" s="167">
        <f t="shared" ca="1" si="140"/>
        <v>21.615104273504276</v>
      </c>
      <c r="BN135" s="178"/>
      <c r="BO135" s="169">
        <f t="shared" ca="1" si="147"/>
        <v>75.125076923076932</v>
      </c>
      <c r="BP135" s="170">
        <f ca="1">INDEX('Cap based on indoor unit SZ'!$V$43:$V$58,MATCH(AE135,'Cap based on indoor unit SZ'!$U$43:$U$58))</f>
        <v>14.945025641025641</v>
      </c>
      <c r="BQ135" s="170">
        <f ca="1">INDEX('Cap based on indoor unit SZ'!$V$43:$V$58,MATCH(AF135,'Cap based on indoor unit SZ'!$U$43:$U$58))</f>
        <v>14.945025641025641</v>
      </c>
      <c r="BR135" s="170">
        <f ca="1">INDEX('Cap based on indoor unit SZ'!$V$43:$V$58,MATCH(AG135,'Cap based on indoor unit SZ'!$U$43:$U$58))</f>
        <v>14.945025641025641</v>
      </c>
      <c r="BS135" s="170">
        <f ca="1">INDEX('Cap based on indoor unit SZ'!$V$43:$V$58,MATCH(AH135,'Cap based on indoor unit SZ'!$U$43:$U$58))</f>
        <v>30.290000000000003</v>
      </c>
      <c r="BT135" s="179"/>
      <c r="BU135" s="175">
        <v>10500</v>
      </c>
      <c r="BV135" s="175">
        <v>10500</v>
      </c>
      <c r="BW135" s="175">
        <v>10500</v>
      </c>
      <c r="BX135" s="175">
        <v>20500</v>
      </c>
      <c r="BY135" s="179"/>
      <c r="BZ135" s="172">
        <f t="shared" ca="1" si="116"/>
        <v>54.037760683760695</v>
      </c>
      <c r="CA135" s="173">
        <f t="shared" ca="1" si="141"/>
        <v>10.807552136752138</v>
      </c>
      <c r="CB135" s="173">
        <f t="shared" ca="1" si="142"/>
        <v>10.807552136752138</v>
      </c>
      <c r="CC135" s="173">
        <f t="shared" ca="1" si="143"/>
        <v>10.807552136752138</v>
      </c>
      <c r="CD135" s="173">
        <f t="shared" ca="1" si="144"/>
        <v>21.615104273504276</v>
      </c>
      <c r="CE135" s="180"/>
      <c r="CF135" s="166">
        <f t="shared" ca="1" si="148"/>
        <v>34.638560967605656</v>
      </c>
      <c r="CG135" s="167">
        <f t="shared" ca="1" si="149"/>
        <v>6.9277121935211312</v>
      </c>
      <c r="CH135" s="167">
        <f t="shared" ca="1" si="149"/>
        <v>6.9277121935211312</v>
      </c>
      <c r="CI135" s="167">
        <f t="shared" ca="1" si="149"/>
        <v>6.9277121935211312</v>
      </c>
      <c r="CJ135" s="167">
        <f t="shared" ca="1" si="149"/>
        <v>13.855424387042262</v>
      </c>
      <c r="CK135" s="178"/>
    </row>
    <row r="136" spans="2:89">
      <c r="B136" s="284">
        <v>48</v>
      </c>
      <c r="C136" s="285">
        <v>69</v>
      </c>
      <c r="D136" s="286"/>
      <c r="E136" s="8" t="s">
        <v>15</v>
      </c>
      <c r="F136" s="16">
        <v>22.58</v>
      </c>
      <c r="G136" s="2">
        <v>27.15</v>
      </c>
      <c r="H136" s="2">
        <v>28.47</v>
      </c>
      <c r="I136" s="2">
        <v>31.15</v>
      </c>
      <c r="J136" s="2">
        <v>36.130000000000003</v>
      </c>
      <c r="K136" s="2">
        <v>36.68</v>
      </c>
      <c r="L136" s="2">
        <v>37.01</v>
      </c>
      <c r="M136" s="2">
        <v>38.99</v>
      </c>
      <c r="N136" s="2">
        <v>41.56</v>
      </c>
      <c r="O136" s="2">
        <v>45.55</v>
      </c>
      <c r="P136" s="2">
        <v>54.03</v>
      </c>
      <c r="Q136" s="2">
        <v>63.62</v>
      </c>
      <c r="R136" s="203">
        <f t="shared" ca="1" si="131"/>
        <v>54.456222222222223</v>
      </c>
      <c r="S136" s="152"/>
      <c r="T136" s="152"/>
      <c r="U136" s="146" t="s">
        <v>97</v>
      </c>
      <c r="V136" s="147">
        <f ca="1">TREND(R134:R137,C134:C137,INDOOR_HEAT_DB)</f>
        <v>53.956812639009769</v>
      </c>
      <c r="W136" s="145"/>
      <c r="X136" s="152"/>
      <c r="AC136" s="164" t="s">
        <v>145</v>
      </c>
      <c r="AD136" s="164">
        <v>48</v>
      </c>
      <c r="AE136" s="165">
        <v>12</v>
      </c>
      <c r="AF136" s="165">
        <v>12</v>
      </c>
      <c r="AG136" s="165">
        <v>18</v>
      </c>
      <c r="AH136" s="165">
        <v>18</v>
      </c>
      <c r="AI136" s="165"/>
      <c r="AJ136" s="501"/>
      <c r="AK136" s="166">
        <f t="shared" ca="1" si="104"/>
        <v>45.37555555555555</v>
      </c>
      <c r="AL136" s="167">
        <f t="shared" ca="1" si="132"/>
        <v>9.0751111111111094</v>
      </c>
      <c r="AM136" s="167">
        <f t="shared" ca="1" si="133"/>
        <v>9.0751111111111094</v>
      </c>
      <c r="AN136" s="167">
        <f t="shared" ca="1" si="134"/>
        <v>13.612666666666666</v>
      </c>
      <c r="AO136" s="167">
        <f t="shared" ca="1" si="135"/>
        <v>13.612666666666666</v>
      </c>
      <c r="AP136" s="178"/>
      <c r="AQ136" s="169">
        <f t="shared" ca="1" si="145"/>
        <v>65.8</v>
      </c>
      <c r="AR136" s="170">
        <f ca="1">INDEX('Cap based on indoor unit SZ'!$J$6:$J$21,MATCH(AE136,'Cap based on indoor unit SZ'!$I$6:$I$21))</f>
        <v>13.078888888888891</v>
      </c>
      <c r="AS136" s="170">
        <f ca="1">INDEX('Cap based on indoor unit SZ'!$J$6:$J$21,MATCH(AF136,'Cap based on indoor unit SZ'!$I$6:$I$21))</f>
        <v>13.078888888888891</v>
      </c>
      <c r="AT136" s="170">
        <f ca="1">INDEX('Cap based on indoor unit SZ'!$J$6:$J$21,MATCH(AG136,'Cap based on indoor unit SZ'!$I$6:$I$21))</f>
        <v>19.821111111111112</v>
      </c>
      <c r="AU136" s="170">
        <f ca="1">INDEX('Cap based on indoor unit SZ'!$J$6:$J$21,MATCH(AH136,'Cap based on indoor unit SZ'!$I$6:$I$21))</f>
        <v>19.821111111111112</v>
      </c>
      <c r="AV136" s="179"/>
      <c r="AW136" s="169">
        <f t="shared" si="108"/>
        <v>50</v>
      </c>
      <c r="AX136" s="170">
        <v>10</v>
      </c>
      <c r="AY136" s="170">
        <v>10</v>
      </c>
      <c r="AZ136" s="170">
        <v>15</v>
      </c>
      <c r="BA136" s="170">
        <v>15</v>
      </c>
      <c r="BB136" s="179"/>
      <c r="BC136" s="172">
        <f t="shared" ca="1" si="146"/>
        <v>45.37555555555555</v>
      </c>
      <c r="BD136" s="173">
        <f t="shared" ca="1" si="136"/>
        <v>9.0751111111111094</v>
      </c>
      <c r="BE136" s="173">
        <f t="shared" ca="1" si="136"/>
        <v>9.0751111111111094</v>
      </c>
      <c r="BF136" s="173">
        <f t="shared" ca="1" si="136"/>
        <v>13.612666666666666</v>
      </c>
      <c r="BG136" s="173">
        <f t="shared" ca="1" si="136"/>
        <v>13.612666666666666</v>
      </c>
      <c r="BH136" s="180"/>
      <c r="BI136" s="166">
        <f t="shared" ca="1" si="112"/>
        <v>54.037760683760695</v>
      </c>
      <c r="BJ136" s="167">
        <f t="shared" ca="1" si="137"/>
        <v>10.807552136752138</v>
      </c>
      <c r="BK136" s="167">
        <f t="shared" ca="1" si="138"/>
        <v>10.807552136752138</v>
      </c>
      <c r="BL136" s="167">
        <f t="shared" ca="1" si="139"/>
        <v>16.211328205128208</v>
      </c>
      <c r="BM136" s="167">
        <f t="shared" ca="1" si="140"/>
        <v>16.211328205128208</v>
      </c>
      <c r="BN136" s="178"/>
      <c r="BO136" s="169">
        <f t="shared" ca="1" si="147"/>
        <v>79.087692307692308</v>
      </c>
      <c r="BP136" s="170">
        <f ca="1">INDEX('Cap based on indoor unit SZ'!$V$43:$V$58,MATCH(AE136,'Cap based on indoor unit SZ'!$U$43:$U$58))</f>
        <v>14.945025641025641</v>
      </c>
      <c r="BQ136" s="170">
        <f ca="1">INDEX('Cap based on indoor unit SZ'!$V$43:$V$58,MATCH(AF136,'Cap based on indoor unit SZ'!$U$43:$U$58))</f>
        <v>14.945025641025641</v>
      </c>
      <c r="BR136" s="170">
        <f ca="1">INDEX('Cap based on indoor unit SZ'!$V$43:$V$58,MATCH(AG136,'Cap based on indoor unit SZ'!$U$43:$U$58))</f>
        <v>24.598820512820513</v>
      </c>
      <c r="BS136" s="170">
        <f ca="1">INDEX('Cap based on indoor unit SZ'!$V$43:$V$58,MATCH(AH136,'Cap based on indoor unit SZ'!$U$43:$U$58))</f>
        <v>24.598820512820513</v>
      </c>
      <c r="BT136" s="179"/>
      <c r="BU136" s="175">
        <v>10500</v>
      </c>
      <c r="BV136" s="175">
        <v>10500</v>
      </c>
      <c r="BW136" s="175">
        <v>15500</v>
      </c>
      <c r="BX136" s="175">
        <v>15500</v>
      </c>
      <c r="BY136" s="179"/>
      <c r="BZ136" s="172">
        <f t="shared" ca="1" si="116"/>
        <v>54.037760683760695</v>
      </c>
      <c r="CA136" s="173">
        <f t="shared" ca="1" si="141"/>
        <v>10.807552136752138</v>
      </c>
      <c r="CB136" s="173">
        <f t="shared" ca="1" si="142"/>
        <v>10.807552136752138</v>
      </c>
      <c r="CC136" s="173">
        <f t="shared" ca="1" si="143"/>
        <v>16.211328205128208</v>
      </c>
      <c r="CD136" s="173">
        <f t="shared" ca="1" si="144"/>
        <v>16.211328205128208</v>
      </c>
      <c r="CE136" s="180"/>
      <c r="CF136" s="166">
        <f t="shared" ca="1" si="148"/>
        <v>34.638560967605656</v>
      </c>
      <c r="CG136" s="167">
        <f t="shared" ca="1" si="149"/>
        <v>6.9277121935211312</v>
      </c>
      <c r="CH136" s="167">
        <f t="shared" ca="1" si="149"/>
        <v>6.9277121935211312</v>
      </c>
      <c r="CI136" s="167">
        <f t="shared" ca="1" si="149"/>
        <v>10.391568290281699</v>
      </c>
      <c r="CJ136" s="167">
        <f t="shared" ca="1" si="149"/>
        <v>10.391568290281699</v>
      </c>
      <c r="CK136" s="178"/>
    </row>
    <row r="137" spans="2:89" ht="14.4" thickBot="1">
      <c r="B137" s="284">
        <v>48</v>
      </c>
      <c r="C137" s="287">
        <v>71.599999999999994</v>
      </c>
      <c r="D137" s="288"/>
      <c r="E137" s="8" t="s">
        <v>15</v>
      </c>
      <c r="F137" s="16">
        <v>22.14</v>
      </c>
      <c r="G137" s="2">
        <v>26.61</v>
      </c>
      <c r="H137" s="2">
        <v>27.91</v>
      </c>
      <c r="I137" s="2">
        <v>30.53</v>
      </c>
      <c r="J137" s="2">
        <v>35.090000000000003</v>
      </c>
      <c r="K137" s="2">
        <v>35.869999999999997</v>
      </c>
      <c r="L137" s="2">
        <v>36.19</v>
      </c>
      <c r="M137" s="2">
        <v>38.130000000000003</v>
      </c>
      <c r="N137" s="2">
        <v>40.64</v>
      </c>
      <c r="O137" s="2">
        <v>44.55</v>
      </c>
      <c r="P137" s="2">
        <v>52.95</v>
      </c>
      <c r="Q137" s="2">
        <v>62.36</v>
      </c>
      <c r="R137" s="211">
        <f t="shared" ca="1" si="131"/>
        <v>53.368222222222229</v>
      </c>
      <c r="S137" s="152"/>
      <c r="T137" s="152"/>
      <c r="U137" s="146"/>
      <c r="V137" s="152"/>
      <c r="W137" s="152"/>
      <c r="X137" s="152"/>
      <c r="AC137" s="164" t="s">
        <v>144</v>
      </c>
      <c r="AD137" s="164">
        <v>48</v>
      </c>
      <c r="AE137" s="165">
        <v>9</v>
      </c>
      <c r="AF137" s="165">
        <v>9</v>
      </c>
      <c r="AG137" s="165">
        <v>9</v>
      </c>
      <c r="AH137" s="165">
        <v>9</v>
      </c>
      <c r="AI137" s="165">
        <v>9</v>
      </c>
      <c r="AJ137" s="500">
        <v>5</v>
      </c>
      <c r="AK137" s="241">
        <f t="shared" ca="1" si="104"/>
        <v>45.37555555555555</v>
      </c>
      <c r="AL137" s="167">
        <f t="shared" ref="AL137:AL148" ca="1" si="150">IF((INDEX($AA$4:$AA$7,MATCH(INDOOR_1,$Z$4:$Z$7))*(INDEX($X$27:$X$46,MATCH($AD137,$W$27:$W$46,1))/(INDEX($AA$4:$AA$7,MATCH(INDOOR_1,$Z$4:$Z$7))+INDEX($AA$4:$AA$7,MATCH(INDOOR_2,$Z$4:$Z$7))+INDEX($AA$4:$AA$7,MATCH(INDOOR_3,$Z$4:$Z$7))+INDEX($AA$4:$AA$7,MATCH(INDOOR_4,$Z$4:$Z$7))+INDEX($AA$4:$AA$7,MATCH(INDOOR_5,$Z$4:$Z$7)))))
&gt;AR137,AR137,
(INDEX($AA$4:$AA$7,MATCH(INDOOR_1,$Z$4:$Z$7))*(INDEX($X$27:$X$46,MATCH($AD137,$W$27:$W$46,1))/(INDEX($AA$4:$AA$7,MATCH(INDOOR_1,$Z$4:$Z$7))+INDEX($AA$4:$AA$7,MATCH(INDOOR_2,$Z$4:$Z$7))+INDEX($AA$4:$AA$7,MATCH(INDOOR_3,$Z$4:$Z$7))+INDEX($AA$4:$AA$7,MATCH(INDOOR_4,$Z$4:$Z$7))+INDEX($AA$4:$AA$7,MATCH(INDOOR_5,$Z$4:$Z$7))))))</f>
        <v>9.0751111111111094</v>
      </c>
      <c r="AM137" s="167">
        <f t="shared" ref="AM137:AM148" ca="1" si="151">IF((INDEX($AA$4:$AA$7,MATCH(INDOOR_2,$Z$4:$Z$7))*(INDEX($X$27:$X$46,MATCH($AD137,$W$27:$W$46,1))/(INDEX($AA$4:$AA$7,MATCH(INDOOR_1,$Z$4:$Z$7))+INDEX($AA$4:$AA$7,MATCH(INDOOR_2,$Z$4:$Z$7))+INDEX($AA$4:$AA$7,MATCH(INDOOR_3,$Z$4:$Z$7))+INDEX($AA$4:$AA$7,MATCH(INDOOR_4,$Z$4:$Z$7))+INDEX($AA$4:$AA$7,MATCH(INDOOR_5,$Z$4:$Z$7)))))
&gt;AS137,AS137,
(INDEX($AA$4:$AA$7,MATCH(INDOOR_2,$Z$4:$Z$7))*(INDEX($X$27:$X$46,MATCH($AD137,$W$27:$W$46,1))/(INDEX($AA$4:$AA$7,MATCH(INDOOR_1,$Z$4:$Z$7))+INDEX($AA$4:$AA$7,MATCH(INDOOR_2,$Z$4:$Z$7))+INDEX($AA$4:$AA$7,MATCH(INDOOR_3,$Z$4:$Z$7))+INDEX($AA$4:$AA$7,MATCH(INDOOR_4,$Z$4:$Z$7))+INDEX($AA$4:$AA$7,MATCH(INDOOR_5,$Z$4:$Z$7))))))</f>
        <v>9.0751111111111094</v>
      </c>
      <c r="AN137" s="167">
        <f t="shared" ref="AN137:AN148" ca="1" si="152">IF((INDEX($AA$4:$AA$7,MATCH(INDOOR_3,$Z$4:$Z$7))*(INDEX($X$27:$X$46,MATCH($AD137,$W$27:$W$46,1))/(INDEX($AA$4:$AA$7,MATCH(INDOOR_1,$Z$4:$Z$7))+INDEX($AA$4:$AA$7,MATCH(INDOOR_2,$Z$4:$Z$7))+INDEX($AA$4:$AA$7,MATCH(INDOOR_3,$Z$4:$Z$7))+INDEX($AA$4:$AA$7,MATCH(INDOOR_4,$Z$4:$Z$7))+INDEX($AA$4:$AA$7,MATCH(INDOOR_5,$Z$4:$Z$7)))))
&gt;AT137,AT137,
(INDEX($AA$4:$AA$7,MATCH(INDOOR_3,$Z$4:$Z$7))*(INDEX($X$27:$X$46,MATCH($AD137,$W$27:$W$46,1))/(INDEX($AA$4:$AA$7,MATCH(INDOOR_1,$Z$4:$Z$7))+INDEX($AA$4:$AA$7,MATCH(INDOOR_2,$Z$4:$Z$7))+INDEX($AA$4:$AA$7,MATCH(INDOOR_3,$Z$4:$Z$7))+INDEX($AA$4:$AA$7,MATCH(INDOOR_4,$Z$4:$Z$7))+INDEX($AA$4:$AA$7,MATCH(INDOOR_5,$Z$4:$Z$7))))))</f>
        <v>9.0751111111111094</v>
      </c>
      <c r="AO137" s="167">
        <f t="shared" ref="AO137:AO148" ca="1" si="153">IF((INDEX($AA$4:$AA$7,MATCH(INDOOR_4,$Z$4:$Z$7))*(INDEX($X$27:$X$46,MATCH($AD137,$W$27:$W$46,1))/(INDEX($AA$4:$AA$7,MATCH(INDOOR_1,$Z$4:$Z$7))+INDEX($AA$4:$AA$7,MATCH(INDOOR_2,$Z$4:$Z$7))+INDEX($AA$4:$AA$7,MATCH(INDOOR_3,$Z$4:$Z$7))+INDEX($AA$4:$AA$7,MATCH(INDOOR_4,$Z$4:$Z$7))+INDEX($AA$4:$AA$7,MATCH(INDOOR_5,$Z$4:$Z$7)))))
&gt;AU137,AU137,
(INDEX($AA$4:$AA$7,MATCH(INDOOR_4,$Z$4:$Z$7))*(INDEX($X$27:$X$46,MATCH($AD137,$W$27:$W$46,1))/(INDEX($AA$4:$AA$7,MATCH(INDOOR_1,$Z$4:$Z$7))+INDEX($AA$4:$AA$7,MATCH(INDOOR_2,$Z$4:$Z$7))+INDEX($AA$4:$AA$7,MATCH(INDOOR_3,$Z$4:$Z$7))+INDEX($AA$4:$AA$7,MATCH(INDOOR_4,$Z$4:$Z$7))+INDEX($AA$4:$AA$7,MATCH(INDOOR_5,$Z$4:$Z$7))))))</f>
        <v>9.0751111111111094</v>
      </c>
      <c r="AP137" s="167">
        <f t="shared" ref="AP137:AP148" ca="1" si="154">IF((INDEX($AA$4:$AA$7,MATCH(INDOOR_5,$Z$4:$Z$7))*(INDEX($X$27:$X$46,MATCH($AD137,$W$27:$W$46,1))/(INDEX($AA$4:$AA$7,MATCH(INDOOR_1,$Z$4:$Z$7))+INDEX($AA$4:$AA$7,MATCH(INDOOR_2,$Z$4:$Z$7))+INDEX($AA$4:$AA$7,MATCH(INDOOR_3,$Z$4:$Z$7))+INDEX($AA$4:$AA$7,MATCH(INDOOR_4,$Z$4:$Z$7))+INDEX($AA$4:$AA$7,MATCH(INDOOR_5,$Z$4:$Z$7)))))
&gt;AV137,AV137,
(INDEX($AA$4:$AA$7,MATCH(INDOOR_5,$Z$4:$Z$7))*(INDEX($X$27:$X$46,MATCH($AD137,$W$27:$W$46,1))/(INDEX($AA$4:$AA$7,MATCH(INDOOR_1,$Z$4:$Z$7))+INDEX($AA$4:$AA$7,MATCH(INDOOR_2,$Z$4:$Z$7))+INDEX($AA$4:$AA$7,MATCH(INDOOR_3,$Z$4:$Z$7))+INDEX($AA$4:$AA$7,MATCH(INDOOR_4,$Z$4:$Z$7))+INDEX($AA$4:$AA$7,MATCH(INDOOR_5,$Z$4:$Z$7))))))</f>
        <v>9.0751111111111094</v>
      </c>
      <c r="AQ137" s="242">
        <f t="shared" ca="1" si="145"/>
        <v>52.315555555555555</v>
      </c>
      <c r="AR137" s="170">
        <f ca="1">INDEX('Cap based on indoor unit SZ'!$J$6:$J$21,MATCH(AE137,'Cap based on indoor unit SZ'!$I$6:$I$21))</f>
        <v>10.463111111111111</v>
      </c>
      <c r="AS137" s="170">
        <f ca="1">INDEX('Cap based on indoor unit SZ'!$J$6:$J$21,MATCH(AF137,'Cap based on indoor unit SZ'!$I$6:$I$21))</f>
        <v>10.463111111111111</v>
      </c>
      <c r="AT137" s="170">
        <f ca="1">INDEX('Cap based on indoor unit SZ'!$J$6:$J$21,MATCH(AG137,'Cap based on indoor unit SZ'!$I$6:$I$21))</f>
        <v>10.463111111111111</v>
      </c>
      <c r="AU137" s="170">
        <f ca="1">INDEX('Cap based on indoor unit SZ'!$J$6:$J$21,MATCH(AH137,'Cap based on indoor unit SZ'!$I$6:$I$21))</f>
        <v>10.463111111111111</v>
      </c>
      <c r="AV137" s="170">
        <f ca="1">INDEX('Cap based on indoor unit SZ'!$J$6:$J$21,MATCH(AI137,'Cap based on indoor unit SZ'!$I$6:$I$21))</f>
        <v>10.463111111111111</v>
      </c>
      <c r="AW137" s="242">
        <f t="shared" si="108"/>
        <v>45</v>
      </c>
      <c r="AX137" s="170">
        <v>9</v>
      </c>
      <c r="AY137" s="170">
        <v>9</v>
      </c>
      <c r="AZ137" s="170">
        <v>9</v>
      </c>
      <c r="BA137" s="170">
        <v>9</v>
      </c>
      <c r="BB137" s="170">
        <v>9</v>
      </c>
      <c r="BC137" s="243">
        <f t="shared" ca="1" si="146"/>
        <v>45.37555555555555</v>
      </c>
      <c r="BD137" s="173">
        <f t="shared" ref="BD137:BH148" ca="1" si="155">(INDEX($AA$4:$AA$7,MATCH(AE137,$Z$4:$Z$7))*(INDEX($X$27:$X$46,MATCH($AD137,$W$27:$W$46,1))/(INDEX($AA$4:$AA$7,MATCH($AE137,$Z$4:$Z$7))+INDEX($AA$4:$AA$7,MATCH($AF137,$Z$4:$Z$7))+INDEX($AA$4:$AA$7,MATCH($AG137,$Z$4:$Z$7))+INDEX($AA$4:$AA$7,MATCH($AH137,$Z$4:$Z$7))+INDEX($AA$4:$AA$7,MATCH($AI137,$Z$4:$Z$7)))))</f>
        <v>9.0751111111111094</v>
      </c>
      <c r="BE137" s="173">
        <f t="shared" ca="1" si="155"/>
        <v>9.0751111111111094</v>
      </c>
      <c r="BF137" s="173">
        <f t="shared" ca="1" si="155"/>
        <v>9.0751111111111094</v>
      </c>
      <c r="BG137" s="173">
        <f t="shared" ca="1" si="155"/>
        <v>9.0751111111111094</v>
      </c>
      <c r="BH137" s="173">
        <f t="shared" ca="1" si="155"/>
        <v>9.0751111111111094</v>
      </c>
      <c r="BI137" s="241">
        <f t="shared" ca="1" si="112"/>
        <v>54.037760683760688</v>
      </c>
      <c r="BJ137" s="167">
        <f t="shared" ref="BJ137:BJ148" ca="1" si="156">IF((INDEX($AA$4:$AA$7,MATCH(INDOOR_1,$Z$4:$Z$7))*(INDEX($X$118:$X$137,MATCH($AD137,$W$118:$W$137,1))/(INDEX($AA$4:$AA$7,MATCH(INDOOR_1,$Z$4:$Z$7))+INDEX($AA$4:$AA$7,MATCH(INDOOR_2,$Z$4:$Z$7))+INDEX($AA$4:$AA$7,MATCH(INDOOR_3,$Z$4:$Z$7))+INDEX($AA$4:$AA$7,MATCH(INDOOR_4,$Z$4:$Z$7))+INDEX($AA$4:$AA$7,MATCH(INDOOR_5,$Z$4:$Z$7)))))
&gt;BP137,BP137,
(INDEX($AA$4:$AA$7,MATCH(INDOOR_1,$Z$4:$Z$7))*(INDEX($X$118:$X$137,MATCH($AD137,$W$118:$W$137,1))/(INDEX($AA$4:$AA$7,MATCH(INDOOR_1,$Z$4:$Z$7))+INDEX($AA$4:$AA$7,MATCH(INDOOR_2,$Z$4:$Z$7))+INDEX($AA$4:$AA$7,MATCH(INDOOR_3,$Z$4:$Z$7))+INDEX($AA$4:$AA$7,MATCH(INDOOR_4,$Z$4:$Z$7))+INDEX($AA$4:$AA$7,MATCH(INDOOR_5,$Z$4:$Z$7))))))</f>
        <v>10.807552136752138</v>
      </c>
      <c r="BK137" s="167">
        <f t="shared" ref="BK137:BK148" ca="1" si="157">IF((INDEX($AA$4:$AA$7,MATCH(INDOOR_2,$Z$4:$Z$7))*(INDEX($X$118:$X$137,MATCH($AD137,$W$118:$W$137,1))/(INDEX($AA$4:$AA$7,MATCH(INDOOR_1,$Z$4:$Z$7))+INDEX($AA$4:$AA$7,MATCH(INDOOR_2,$Z$4:$Z$7))+INDEX($AA$4:$AA$7,MATCH(INDOOR_3,$Z$4:$Z$7))+INDEX($AA$4:$AA$7,MATCH(INDOOR_4,$Z$4:$Z$7))+INDEX($AA$4:$AA$7,MATCH(INDOOR_5,$Z$4:$Z$7)))))
&gt;BQ137,BQ137,
(INDEX($AA$4:$AA$7,MATCH(INDOOR_2,$Z$4:$Z$7))*(INDEX($X$118:$X$137,MATCH($AD137,$W$118:$W$137,1))/(INDEX($AA$4:$AA$7,MATCH(INDOOR_1,$Z$4:$Z$7))+INDEX($AA$4:$AA$7,MATCH(INDOOR_2,$Z$4:$Z$7))+INDEX($AA$4:$AA$7,MATCH(INDOOR_3,$Z$4:$Z$7))+INDEX($AA$4:$AA$7,MATCH(INDOOR_4,$Z$4:$Z$7))+INDEX($AA$4:$AA$7,MATCH(INDOOR_5,$Z$4:$Z$7))))))</f>
        <v>10.807552136752138</v>
      </c>
      <c r="BL137" s="167">
        <f t="shared" ref="BL137:BL148" ca="1" si="158">IF((INDEX($AA$4:$AA$7,MATCH(INDOOR_3,$Z$4:$Z$7))*(INDEX($X$118:$X$137,MATCH($AD137,$W$118:$W$137,1))/(INDEX($AA$4:$AA$7,MATCH(INDOOR_1,$Z$4:$Z$7))+INDEX($AA$4:$AA$7,MATCH(INDOOR_2,$Z$4:$Z$7))+INDEX($AA$4:$AA$7,MATCH(INDOOR_3,$Z$4:$Z$7))+INDEX($AA$4:$AA$7,MATCH(INDOOR_4,$Z$4:$Z$7))+INDEX($AA$4:$AA$7,MATCH(INDOOR_5,$Z$4:$Z$7)))))
&gt;BR137,BR137,
(INDEX($AA$4:$AA$7,MATCH(INDOOR_3,$Z$4:$Z$7))*(INDEX($X$118:$X$137,MATCH($AD137,$W$118:$W$137,1))/(INDEX($AA$4:$AA$7,MATCH(INDOOR_1,$Z$4:$Z$7))+INDEX($AA$4:$AA$7,MATCH(INDOOR_2,$Z$4:$Z$7))+INDEX($AA$4:$AA$7,MATCH(INDOOR_3,$Z$4:$Z$7))+INDEX($AA$4:$AA$7,MATCH(INDOOR_4,$Z$4:$Z$7))+INDEX($AA$4:$AA$7,MATCH(INDOOR_5,$Z$4:$Z$7))))))</f>
        <v>10.807552136752138</v>
      </c>
      <c r="BM137" s="167">
        <f t="shared" ref="BM137:BM148" ca="1" si="159">IF((INDEX($AA$4:$AA$7,MATCH(INDOOR_4,$Z$4:$Z$7))*(INDEX($X$118:$X$137,MATCH($AD137,$W$118:$W$137,1))/(INDEX($AA$4:$AA$7,MATCH(INDOOR_1,$Z$4:$Z$7))+INDEX($AA$4:$AA$7,MATCH(INDOOR_2,$Z$4:$Z$7))+INDEX($AA$4:$AA$7,MATCH(INDOOR_3,$Z$4:$Z$7))+INDEX($AA$4:$AA$7,MATCH(INDOOR_4,$Z$4:$Z$7))+INDEX($AA$4:$AA$7,MATCH(INDOOR_5,$Z$4:$Z$7)))))
&gt;BS137,BS137,
(INDEX($AA$4:$AA$7,MATCH(INDOOR_4,$Z$4:$Z$7))*(INDEX($X$118:$X$137,MATCH($AD137,$W$118:$W$137,1))/(INDEX($AA$4:$AA$7,MATCH(INDOOR_1,$Z$4:$Z$7))+INDEX($AA$4:$AA$7,MATCH(INDOOR_2,$Z$4:$Z$7))+INDEX($AA$4:$AA$7,MATCH(INDOOR_3,$Z$4:$Z$7))+INDEX($AA$4:$AA$7,MATCH(INDOOR_4,$Z$4:$Z$7))+INDEX($AA$4:$AA$7,MATCH(INDOOR_5,$Z$4:$Z$7))))))</f>
        <v>10.807552136752138</v>
      </c>
      <c r="BN137" s="167">
        <f t="shared" ref="BN137:BN148" ca="1" si="160">IF((INDEX($AA$4:$AA$7,MATCH(INDOOR_5,$Z$4:$Z$7))*(INDEX($X$118:$X$137,MATCH($AD137,$W$118:$W$137,1))/(INDEX($AA$4:$AA$7,MATCH(INDOOR_1,$Z$4:$Z$7))+INDEX($AA$4:$AA$7,MATCH(INDOOR_2,$Z$4:$Z$7))+INDEX($AA$4:$AA$7,MATCH(INDOOR_3,$Z$4:$Z$7))+INDEX($AA$4:$AA$7,MATCH(INDOOR_4,$Z$4:$Z$7))+INDEX($AA$4:$AA$7,MATCH(INDOOR_5,$Z$4:$Z$7)))))
&gt;BT137,BT137,
(INDEX($AA$4:$AA$7,MATCH(INDOOR_5,$Z$4:$Z$7))*(INDEX($X$118:$X$137,MATCH($AD137,$W$118:$W$137,1))/(INDEX($AA$4:$AA$7,MATCH(INDOOR_1,$Z$4:$Z$7))+INDEX($AA$4:$AA$7,MATCH(INDOOR_2,$Z$4:$Z$7))+INDEX($AA$4:$AA$7,MATCH(INDOOR_3,$Z$4:$Z$7))+INDEX($AA$4:$AA$7,MATCH(INDOOR_4,$Z$4:$Z$7))+INDEX($AA$4:$AA$7,MATCH(INDOOR_5,$Z$4:$Z$7))))))</f>
        <v>10.807552136752138</v>
      </c>
      <c r="BO137" s="242">
        <f t="shared" ca="1" si="147"/>
        <v>59.780102564102563</v>
      </c>
      <c r="BP137" s="170">
        <f ca="1">INDEX('Cap based on indoor unit SZ'!$V$43:$V$58,MATCH(AE137,'Cap based on indoor unit SZ'!$U$43:$U$58))</f>
        <v>11.956020512820512</v>
      </c>
      <c r="BQ137" s="170">
        <f ca="1">INDEX('Cap based on indoor unit SZ'!$V$43:$V$58,MATCH(AF137,'Cap based on indoor unit SZ'!$U$43:$U$58))</f>
        <v>11.956020512820512</v>
      </c>
      <c r="BR137" s="170">
        <f ca="1">INDEX('Cap based on indoor unit SZ'!$V$43:$V$58,MATCH(AG137,'Cap based on indoor unit SZ'!$U$43:$U$58))</f>
        <v>11.956020512820512</v>
      </c>
      <c r="BS137" s="170">
        <f ca="1">INDEX('Cap based on indoor unit SZ'!$V$43:$V$58,MATCH(AH137,'Cap based on indoor unit SZ'!$U$43:$U$58))</f>
        <v>11.956020512820512</v>
      </c>
      <c r="BT137" s="170">
        <f ca="1">INDEX('Cap based on indoor unit SZ'!$V$43:$V$58,MATCH(AI137,'Cap based on indoor unit SZ'!$U$43:$U$58))</f>
        <v>11.956020512820512</v>
      </c>
      <c r="BU137" s="175">
        <v>9500</v>
      </c>
      <c r="BV137" s="175">
        <v>9500</v>
      </c>
      <c r="BW137" s="175">
        <v>9500</v>
      </c>
      <c r="BX137" s="175">
        <v>9500</v>
      </c>
      <c r="BY137" s="175">
        <v>9500</v>
      </c>
      <c r="BZ137" s="243">
        <f t="shared" ca="1" si="116"/>
        <v>54.037760683760688</v>
      </c>
      <c r="CA137" s="173">
        <f t="shared" ref="CA137:CA148" ca="1" si="161">(INDEX($AA$4:$AA$7,MATCH(INDOOR_1,$Z$4:$Z$7))*(INDEX($X$118:$X$137,MATCH($AD137,$W$118:$W$137,1))/(INDEX($AA$4:$AA$7,MATCH(INDOOR_1,$Z$4:$Z$7))+INDEX($AA$4:$AA$7,MATCH(INDOOR_2,$Z$4:$Z$7))+INDEX($AA$4:$AA$7,MATCH(INDOOR_3,$Z$4:$Z$7))+INDEX($AA$4:$AA$7,MATCH(INDOOR_4,$Z$4:$Z$7))+INDEX($AA$4:$AA$7,MATCH(INDOOR_5,$Z$4:$Z$7)))))</f>
        <v>10.807552136752138</v>
      </c>
      <c r="CB137" s="173">
        <f t="shared" ref="CB137:CB148" ca="1" si="162">(INDEX($AA$4:$AA$7,MATCH(INDOOR_2,$Z$4:$Z$7))*(INDEX($X$118:$X$137,MATCH($AD137,$W$118:$W$137,1))/(INDEX($AA$4:$AA$7,MATCH(INDOOR_1,$Z$4:$Z$7))+INDEX($AA$4:$AA$7,MATCH(INDOOR_2,$Z$4:$Z$7))+INDEX($AA$4:$AA$7,MATCH(INDOOR_3,$Z$4:$Z$7))+INDEX($AA$4:$AA$7,MATCH(INDOOR_4,$Z$4:$Z$7))+INDEX($AA$4:$AA$7,MATCH(INDOOR_5,$Z$4:$Z$7)))))</f>
        <v>10.807552136752138</v>
      </c>
      <c r="CC137" s="173">
        <f t="shared" ref="CC137:CC148" ca="1" si="163">(INDEX($AA$4:$AA$7,MATCH(INDOOR_3,$Z$4:$Z$7))*(INDEX($X$118:$X$137,MATCH($AD137,$W$118:$W$137,1))/(INDEX($AA$4:$AA$7,MATCH(INDOOR_1,$Z$4:$Z$7))+INDEX($AA$4:$AA$7,MATCH(INDOOR_2,$Z$4:$Z$7))+INDEX($AA$4:$AA$7,MATCH(INDOOR_3,$Z$4:$Z$7))+INDEX($AA$4:$AA$7,MATCH(INDOOR_4,$Z$4:$Z$7))+INDEX($AA$4:$AA$7,MATCH(INDOOR_5,$Z$4:$Z$7)))))</f>
        <v>10.807552136752138</v>
      </c>
      <c r="CD137" s="173">
        <f t="shared" ref="CD137:CD148" ca="1" si="164">(INDEX($AA$4:$AA$7,MATCH(INDOOR_4,$Z$4:$Z$7))*(INDEX($X$118:$X$137,MATCH($AD137,$W$118:$W$137,1))/(INDEX($AA$4:$AA$7,MATCH(INDOOR_1,$Z$4:$Z$7))+INDEX($AA$4:$AA$7,MATCH(INDOOR_2,$Z$4:$Z$7))+INDEX($AA$4:$AA$7,MATCH(INDOOR_3,$Z$4:$Z$7))+INDEX($AA$4:$AA$7,MATCH(INDOOR_4,$Z$4:$Z$7))+INDEX($AA$4:$AA$7,MATCH(INDOOR_5,$Z$4:$Z$7)))))</f>
        <v>10.807552136752138</v>
      </c>
      <c r="CE137" s="173">
        <f t="shared" ref="CE137:CE148" ca="1" si="165">(INDEX($AA$4:$AA$7,MATCH(INDOOR_5,$Z$4:$Z$7))*(INDEX($X$118:$X$137,MATCH($AD137,$W$118:$W$137,1))/(INDEX($AA$4:$AA$7,MATCH(INDOOR_1,$Z$4:$Z$7))+INDEX($AA$4:$AA$7,MATCH(INDOOR_2,$Z$4:$Z$7))+INDEX($AA$4:$AA$7,MATCH(INDOOR_3,$Z$4:$Z$7))+INDEX($AA$4:$AA$7,MATCH(INDOOR_4,$Z$4:$Z$7))+INDEX($AA$4:$AA$7,MATCH(INDOOR_5,$Z$4:$Z$7)))))</f>
        <v>10.807552136752138</v>
      </c>
      <c r="CF137" s="241">
        <f t="shared" ca="1" si="148"/>
        <v>34.638560967605656</v>
      </c>
      <c r="CG137" s="167">
        <f t="shared" ca="1" si="149"/>
        <v>6.9277121935211312</v>
      </c>
      <c r="CH137" s="167">
        <f t="shared" ca="1" si="149"/>
        <v>6.9277121935211312</v>
      </c>
      <c r="CI137" s="167">
        <f t="shared" ca="1" si="149"/>
        <v>6.9277121935211312</v>
      </c>
      <c r="CJ137" s="167">
        <f t="shared" ca="1" si="149"/>
        <v>6.9277121935211312</v>
      </c>
      <c r="CK137" s="167">
        <f t="shared" ca="1" si="149"/>
        <v>6.9277121935211312</v>
      </c>
    </row>
    <row r="138" spans="2:89">
      <c r="B138" s="284">
        <v>18</v>
      </c>
      <c r="C138" s="289">
        <v>59</v>
      </c>
      <c r="D138" s="290"/>
      <c r="E138" s="8" t="s">
        <v>17</v>
      </c>
      <c r="F138" s="9">
        <v>1.65</v>
      </c>
      <c r="G138" s="2">
        <v>1.69</v>
      </c>
      <c r="H138" s="2">
        <v>1.81</v>
      </c>
      <c r="I138" s="2">
        <v>1.83</v>
      </c>
      <c r="J138" s="2">
        <v>1.98</v>
      </c>
      <c r="K138" s="2">
        <v>1.87</v>
      </c>
      <c r="L138" s="2">
        <v>1.88</v>
      </c>
      <c r="M138" s="2">
        <v>1.93</v>
      </c>
      <c r="N138" s="2">
        <v>1.65</v>
      </c>
      <c r="O138" s="2">
        <v>1.76</v>
      </c>
      <c r="P138" s="2">
        <v>2.02</v>
      </c>
      <c r="Q138" s="2">
        <v>1.86</v>
      </c>
      <c r="R138" s="15"/>
      <c r="AC138" s="164" t="s">
        <v>143</v>
      </c>
      <c r="AD138" s="164">
        <v>48</v>
      </c>
      <c r="AE138" s="165">
        <v>9</v>
      </c>
      <c r="AF138" s="165">
        <v>9</v>
      </c>
      <c r="AG138" s="165">
        <v>9</v>
      </c>
      <c r="AH138" s="165">
        <v>9</v>
      </c>
      <c r="AI138" s="165">
        <v>12</v>
      </c>
      <c r="AJ138" s="501"/>
      <c r="AK138" s="241">
        <f t="shared" ca="1" si="104"/>
        <v>45.37555555555555</v>
      </c>
      <c r="AL138" s="167">
        <f t="shared" ca="1" si="150"/>
        <v>8.5079166666666666</v>
      </c>
      <c r="AM138" s="167">
        <f t="shared" ca="1" si="151"/>
        <v>8.5079166666666666</v>
      </c>
      <c r="AN138" s="167">
        <f t="shared" ca="1" si="152"/>
        <v>8.5079166666666666</v>
      </c>
      <c r="AO138" s="167">
        <f t="shared" ca="1" si="153"/>
        <v>8.5079166666666666</v>
      </c>
      <c r="AP138" s="167">
        <f t="shared" ca="1" si="154"/>
        <v>11.343888888888888</v>
      </c>
      <c r="AQ138" s="242">
        <f t="shared" ca="1" si="145"/>
        <v>54.931333333333335</v>
      </c>
      <c r="AR138" s="170">
        <f ca="1">INDEX('Cap based on indoor unit SZ'!$J$6:$J$21,MATCH(AE138,'Cap based on indoor unit SZ'!$I$6:$I$21))</f>
        <v>10.463111111111111</v>
      </c>
      <c r="AS138" s="170">
        <f ca="1">INDEX('Cap based on indoor unit SZ'!$J$6:$J$21,MATCH(AF138,'Cap based on indoor unit SZ'!$I$6:$I$21))</f>
        <v>10.463111111111111</v>
      </c>
      <c r="AT138" s="170">
        <f ca="1">INDEX('Cap based on indoor unit SZ'!$J$6:$J$21,MATCH(AG138,'Cap based on indoor unit SZ'!$I$6:$I$21))</f>
        <v>10.463111111111111</v>
      </c>
      <c r="AU138" s="170">
        <f ca="1">INDEX('Cap based on indoor unit SZ'!$J$6:$J$21,MATCH(AH138,'Cap based on indoor unit SZ'!$I$6:$I$21))</f>
        <v>10.463111111111111</v>
      </c>
      <c r="AV138" s="170">
        <f ca="1">INDEX('Cap based on indoor unit SZ'!$J$6:$J$21,MATCH(AI138,'Cap based on indoor unit SZ'!$I$6:$I$21))</f>
        <v>13.078888888888891</v>
      </c>
      <c r="AW138" s="242">
        <f t="shared" si="108"/>
        <v>48</v>
      </c>
      <c r="AX138" s="170">
        <v>9</v>
      </c>
      <c r="AY138" s="170">
        <v>9</v>
      </c>
      <c r="AZ138" s="170">
        <v>9</v>
      </c>
      <c r="BA138" s="170">
        <v>9</v>
      </c>
      <c r="BB138" s="170">
        <v>12</v>
      </c>
      <c r="BC138" s="243">
        <f t="shared" ca="1" si="146"/>
        <v>45.37555555555555</v>
      </c>
      <c r="BD138" s="173">
        <f t="shared" ca="1" si="155"/>
        <v>8.5079166666666666</v>
      </c>
      <c r="BE138" s="173">
        <f t="shared" ca="1" si="155"/>
        <v>8.5079166666666666</v>
      </c>
      <c r="BF138" s="173">
        <f t="shared" ca="1" si="155"/>
        <v>8.5079166666666666</v>
      </c>
      <c r="BG138" s="173">
        <f t="shared" ca="1" si="155"/>
        <v>8.5079166666666666</v>
      </c>
      <c r="BH138" s="173">
        <f t="shared" ca="1" si="155"/>
        <v>11.343888888888888</v>
      </c>
      <c r="BI138" s="241">
        <f t="shared" ca="1" si="112"/>
        <v>54.037760683760695</v>
      </c>
      <c r="BJ138" s="167">
        <f t="shared" ca="1" si="156"/>
        <v>10.13208012820513</v>
      </c>
      <c r="BK138" s="167">
        <f t="shared" ca="1" si="157"/>
        <v>10.13208012820513</v>
      </c>
      <c r="BL138" s="167">
        <f t="shared" ca="1" si="158"/>
        <v>10.13208012820513</v>
      </c>
      <c r="BM138" s="167">
        <f t="shared" ca="1" si="159"/>
        <v>10.13208012820513</v>
      </c>
      <c r="BN138" s="167">
        <f t="shared" ca="1" si="160"/>
        <v>13.509440170940174</v>
      </c>
      <c r="BO138" s="242">
        <f t="shared" ca="1" si="147"/>
        <v>62.769107692307685</v>
      </c>
      <c r="BP138" s="170">
        <f ca="1">INDEX('Cap based on indoor unit SZ'!$V$43:$V$58,MATCH(AE138,'Cap based on indoor unit SZ'!$U$43:$U$58))</f>
        <v>11.956020512820512</v>
      </c>
      <c r="BQ138" s="170">
        <f ca="1">INDEX('Cap based on indoor unit SZ'!$V$43:$V$58,MATCH(AF138,'Cap based on indoor unit SZ'!$U$43:$U$58))</f>
        <v>11.956020512820512</v>
      </c>
      <c r="BR138" s="170">
        <f ca="1">INDEX('Cap based on indoor unit SZ'!$V$43:$V$58,MATCH(AG138,'Cap based on indoor unit SZ'!$U$43:$U$58))</f>
        <v>11.956020512820512</v>
      </c>
      <c r="BS138" s="170">
        <f ca="1">INDEX('Cap based on indoor unit SZ'!$V$43:$V$58,MATCH(AH138,'Cap based on indoor unit SZ'!$U$43:$U$58))</f>
        <v>11.956020512820512</v>
      </c>
      <c r="BT138" s="170">
        <f ca="1">INDEX('Cap based on indoor unit SZ'!$V$43:$V$58,MATCH(AI138,'Cap based on indoor unit SZ'!$U$43:$U$58))</f>
        <v>14.945025641025641</v>
      </c>
      <c r="BU138" s="175">
        <v>9500</v>
      </c>
      <c r="BV138" s="175">
        <v>9500</v>
      </c>
      <c r="BW138" s="175">
        <v>9500</v>
      </c>
      <c r="BX138" s="175">
        <v>9500</v>
      </c>
      <c r="BY138" s="175">
        <v>13000</v>
      </c>
      <c r="BZ138" s="243">
        <f t="shared" ca="1" si="116"/>
        <v>54.037760683760695</v>
      </c>
      <c r="CA138" s="173">
        <f t="shared" ca="1" si="161"/>
        <v>10.13208012820513</v>
      </c>
      <c r="CB138" s="173">
        <f t="shared" ca="1" si="162"/>
        <v>10.13208012820513</v>
      </c>
      <c r="CC138" s="173">
        <f t="shared" ca="1" si="163"/>
        <v>10.13208012820513</v>
      </c>
      <c r="CD138" s="173">
        <f t="shared" ca="1" si="164"/>
        <v>10.13208012820513</v>
      </c>
      <c r="CE138" s="173">
        <f t="shared" ca="1" si="165"/>
        <v>13.509440170940174</v>
      </c>
      <c r="CF138" s="241">
        <f t="shared" ca="1" si="148"/>
        <v>34.638560967605663</v>
      </c>
      <c r="CG138" s="167">
        <f t="shared" ca="1" si="149"/>
        <v>6.4947301814260623</v>
      </c>
      <c r="CH138" s="167">
        <f t="shared" ca="1" si="149"/>
        <v>6.4947301814260623</v>
      </c>
      <c r="CI138" s="167">
        <f t="shared" ca="1" si="149"/>
        <v>6.4947301814260623</v>
      </c>
      <c r="CJ138" s="167">
        <f t="shared" ca="1" si="149"/>
        <v>6.4947301814260623</v>
      </c>
      <c r="CK138" s="167">
        <f t="shared" ca="1" si="149"/>
        <v>8.6596402419014158</v>
      </c>
    </row>
    <row r="139" spans="2:89">
      <c r="B139" s="284">
        <v>18</v>
      </c>
      <c r="C139" s="285">
        <v>64.400000000000006</v>
      </c>
      <c r="D139" s="286"/>
      <c r="E139" s="8" t="s">
        <v>17</v>
      </c>
      <c r="F139" s="9">
        <v>1.68</v>
      </c>
      <c r="G139" s="2">
        <v>1.72</v>
      </c>
      <c r="H139" s="2">
        <v>1.84</v>
      </c>
      <c r="I139" s="2">
        <v>1.86</v>
      </c>
      <c r="J139" s="2">
        <v>2.02</v>
      </c>
      <c r="K139" s="2">
        <v>1.9</v>
      </c>
      <c r="L139" s="2">
        <v>1.91</v>
      </c>
      <c r="M139" s="2">
        <v>1.96</v>
      </c>
      <c r="N139" s="2">
        <v>1.68</v>
      </c>
      <c r="O139" s="2">
        <v>1.79</v>
      </c>
      <c r="P139" s="2">
        <v>2.0499999999999998</v>
      </c>
      <c r="Q139" s="2">
        <v>1.89</v>
      </c>
      <c r="R139" s="3"/>
      <c r="AC139" s="164" t="s">
        <v>142</v>
      </c>
      <c r="AD139" s="164">
        <v>48</v>
      </c>
      <c r="AE139" s="165">
        <v>9</v>
      </c>
      <c r="AF139" s="165">
        <v>9</v>
      </c>
      <c r="AG139" s="165">
        <v>9</v>
      </c>
      <c r="AH139" s="165">
        <v>9</v>
      </c>
      <c r="AI139" s="165">
        <v>18</v>
      </c>
      <c r="AJ139" s="501"/>
      <c r="AK139" s="241">
        <f t="shared" ca="1" si="104"/>
        <v>45.37555555555555</v>
      </c>
      <c r="AL139" s="167">
        <f t="shared" ca="1" si="150"/>
        <v>7.5625925925925914</v>
      </c>
      <c r="AM139" s="167">
        <f t="shared" ca="1" si="151"/>
        <v>7.5625925925925914</v>
      </c>
      <c r="AN139" s="167">
        <f t="shared" ca="1" si="152"/>
        <v>7.5625925925925914</v>
      </c>
      <c r="AO139" s="167">
        <f t="shared" ca="1" si="153"/>
        <v>7.5625925925925914</v>
      </c>
      <c r="AP139" s="167">
        <f t="shared" ca="1" si="154"/>
        <v>15.125185185185183</v>
      </c>
      <c r="AQ139" s="242">
        <f t="shared" ca="1" si="145"/>
        <v>61.673555555555552</v>
      </c>
      <c r="AR139" s="170">
        <f ca="1">INDEX('Cap based on indoor unit SZ'!$J$6:$J$21,MATCH(AE139,'Cap based on indoor unit SZ'!$I$6:$I$21))</f>
        <v>10.463111111111111</v>
      </c>
      <c r="AS139" s="170">
        <f ca="1">INDEX('Cap based on indoor unit SZ'!$J$6:$J$21,MATCH(AF139,'Cap based on indoor unit SZ'!$I$6:$I$21))</f>
        <v>10.463111111111111</v>
      </c>
      <c r="AT139" s="170">
        <f ca="1">INDEX('Cap based on indoor unit SZ'!$J$6:$J$21,MATCH(AG139,'Cap based on indoor unit SZ'!$I$6:$I$21))</f>
        <v>10.463111111111111</v>
      </c>
      <c r="AU139" s="170">
        <f ca="1">INDEX('Cap based on indoor unit SZ'!$J$6:$J$21,MATCH(AH139,'Cap based on indoor unit SZ'!$I$6:$I$21))</f>
        <v>10.463111111111111</v>
      </c>
      <c r="AV139" s="170">
        <f ca="1">INDEX('Cap based on indoor unit SZ'!$J$6:$J$21,MATCH(AI139,'Cap based on indoor unit SZ'!$I$6:$I$21))</f>
        <v>19.821111111111112</v>
      </c>
      <c r="AW139" s="242">
        <f t="shared" si="108"/>
        <v>50</v>
      </c>
      <c r="AX139" s="170">
        <v>8.5</v>
      </c>
      <c r="AY139" s="170">
        <v>8.5</v>
      </c>
      <c r="AZ139" s="170">
        <v>8.5</v>
      </c>
      <c r="BA139" s="170">
        <v>8.5</v>
      </c>
      <c r="BB139" s="170">
        <v>16</v>
      </c>
      <c r="BC139" s="243">
        <f t="shared" ca="1" si="146"/>
        <v>45.37555555555555</v>
      </c>
      <c r="BD139" s="173">
        <f t="shared" ca="1" si="155"/>
        <v>7.5625925925925914</v>
      </c>
      <c r="BE139" s="173">
        <f t="shared" ca="1" si="155"/>
        <v>7.5625925925925914</v>
      </c>
      <c r="BF139" s="173">
        <f t="shared" ca="1" si="155"/>
        <v>7.5625925925925914</v>
      </c>
      <c r="BG139" s="173">
        <f t="shared" ca="1" si="155"/>
        <v>7.5625925925925914</v>
      </c>
      <c r="BH139" s="173">
        <f t="shared" ca="1" si="155"/>
        <v>15.125185185185183</v>
      </c>
      <c r="BI139" s="241">
        <f t="shared" ca="1" si="112"/>
        <v>54.037760683760688</v>
      </c>
      <c r="BJ139" s="167">
        <f t="shared" ca="1" si="156"/>
        <v>9.0062934472934479</v>
      </c>
      <c r="BK139" s="167">
        <f t="shared" ca="1" si="157"/>
        <v>9.0062934472934479</v>
      </c>
      <c r="BL139" s="167">
        <f t="shared" ca="1" si="158"/>
        <v>9.0062934472934479</v>
      </c>
      <c r="BM139" s="167">
        <f t="shared" ca="1" si="159"/>
        <v>9.0062934472934479</v>
      </c>
      <c r="BN139" s="167">
        <f t="shared" ca="1" si="160"/>
        <v>18.012586894586896</v>
      </c>
      <c r="BO139" s="242">
        <f t="shared" ca="1" si="147"/>
        <v>72.422902564102557</v>
      </c>
      <c r="BP139" s="170">
        <f ca="1">INDEX('Cap based on indoor unit SZ'!$V$43:$V$58,MATCH(AE139,'Cap based on indoor unit SZ'!$U$43:$U$58))</f>
        <v>11.956020512820512</v>
      </c>
      <c r="BQ139" s="170">
        <f ca="1">INDEX('Cap based on indoor unit SZ'!$V$43:$V$58,MATCH(AF139,'Cap based on indoor unit SZ'!$U$43:$U$58))</f>
        <v>11.956020512820512</v>
      </c>
      <c r="BR139" s="170">
        <f ca="1">INDEX('Cap based on indoor unit SZ'!$V$43:$V$58,MATCH(AG139,'Cap based on indoor unit SZ'!$U$43:$U$58))</f>
        <v>11.956020512820512</v>
      </c>
      <c r="BS139" s="170">
        <f ca="1">INDEX('Cap based on indoor unit SZ'!$V$43:$V$58,MATCH(AH139,'Cap based on indoor unit SZ'!$U$43:$U$58))</f>
        <v>11.956020512820512</v>
      </c>
      <c r="BT139" s="170">
        <f ca="1">INDEX('Cap based on indoor unit SZ'!$V$43:$V$58,MATCH(AI139,'Cap based on indoor unit SZ'!$U$43:$U$58))</f>
        <v>24.598820512820513</v>
      </c>
      <c r="BU139" s="175">
        <v>9000</v>
      </c>
      <c r="BV139" s="175">
        <v>9000</v>
      </c>
      <c r="BW139" s="175">
        <v>9000</v>
      </c>
      <c r="BX139" s="175">
        <v>9000</v>
      </c>
      <c r="BY139" s="175">
        <v>16500</v>
      </c>
      <c r="BZ139" s="243">
        <f t="shared" ca="1" si="116"/>
        <v>54.037760683760688</v>
      </c>
      <c r="CA139" s="173">
        <f t="shared" ca="1" si="161"/>
        <v>9.0062934472934479</v>
      </c>
      <c r="CB139" s="173">
        <f t="shared" ca="1" si="162"/>
        <v>9.0062934472934479</v>
      </c>
      <c r="CC139" s="173">
        <f t="shared" ca="1" si="163"/>
        <v>9.0062934472934479</v>
      </c>
      <c r="CD139" s="173">
        <f t="shared" ca="1" si="164"/>
        <v>9.0062934472934479</v>
      </c>
      <c r="CE139" s="173">
        <f t="shared" ca="1" si="165"/>
        <v>18.012586894586896</v>
      </c>
      <c r="CF139" s="241">
        <f t="shared" ca="1" si="148"/>
        <v>34.638560967605663</v>
      </c>
      <c r="CG139" s="167">
        <f t="shared" ca="1" si="149"/>
        <v>5.7730934946009436</v>
      </c>
      <c r="CH139" s="167">
        <f t="shared" ca="1" si="149"/>
        <v>5.7730934946009436</v>
      </c>
      <c r="CI139" s="167">
        <f t="shared" ca="1" si="149"/>
        <v>5.7730934946009436</v>
      </c>
      <c r="CJ139" s="167">
        <f t="shared" ca="1" si="149"/>
        <v>5.7730934946009436</v>
      </c>
      <c r="CK139" s="167">
        <f t="shared" ca="1" si="149"/>
        <v>11.546186989201887</v>
      </c>
    </row>
    <row r="140" spans="2:89">
      <c r="B140" s="284">
        <v>18</v>
      </c>
      <c r="C140" s="287">
        <v>69</v>
      </c>
      <c r="D140" s="288"/>
      <c r="E140" s="8" t="s">
        <v>17</v>
      </c>
      <c r="F140" s="9">
        <v>1.46</v>
      </c>
      <c r="G140" s="2">
        <v>1.49</v>
      </c>
      <c r="H140" s="2">
        <v>1.54</v>
      </c>
      <c r="I140" s="2">
        <v>1.55</v>
      </c>
      <c r="J140" s="2">
        <v>2.0099999999999998</v>
      </c>
      <c r="K140" s="2">
        <v>1.68</v>
      </c>
      <c r="L140" s="2">
        <v>1.71</v>
      </c>
      <c r="M140" s="2">
        <v>1.88</v>
      </c>
      <c r="N140" s="2">
        <v>1.86</v>
      </c>
      <c r="O140" s="2">
        <v>1.94</v>
      </c>
      <c r="P140" s="2">
        <v>2</v>
      </c>
      <c r="Q140" s="2">
        <v>1.59</v>
      </c>
      <c r="R140" s="3"/>
      <c r="AC140" s="164" t="s">
        <v>141</v>
      </c>
      <c r="AD140" s="164">
        <v>48</v>
      </c>
      <c r="AE140" s="165">
        <v>9</v>
      </c>
      <c r="AF140" s="165">
        <v>9</v>
      </c>
      <c r="AG140" s="165">
        <v>9</v>
      </c>
      <c r="AH140" s="165">
        <v>9</v>
      </c>
      <c r="AI140" s="165">
        <v>24</v>
      </c>
      <c r="AJ140" s="501"/>
      <c r="AK140" s="241">
        <f t="shared" ca="1" si="104"/>
        <v>45.37555555555555</v>
      </c>
      <c r="AL140" s="167">
        <f t="shared" ca="1" si="150"/>
        <v>6.8063333333333329</v>
      </c>
      <c r="AM140" s="167">
        <f t="shared" ca="1" si="151"/>
        <v>6.8063333333333329</v>
      </c>
      <c r="AN140" s="167">
        <f t="shared" ca="1" si="152"/>
        <v>6.8063333333333329</v>
      </c>
      <c r="AO140" s="167">
        <f t="shared" ca="1" si="153"/>
        <v>6.8063333333333329</v>
      </c>
      <c r="AP140" s="167">
        <f t="shared" ca="1" si="154"/>
        <v>18.150222222222219</v>
      </c>
      <c r="AQ140" s="242">
        <f t="shared" ca="1" si="145"/>
        <v>66.304666666666662</v>
      </c>
      <c r="AR140" s="170">
        <f ca="1">INDEX('Cap based on indoor unit SZ'!$J$6:$J$21,MATCH(AE140,'Cap based on indoor unit SZ'!$I$6:$I$21))</f>
        <v>10.463111111111111</v>
      </c>
      <c r="AS140" s="170">
        <f ca="1">INDEX('Cap based on indoor unit SZ'!$J$6:$J$21,MATCH(AF140,'Cap based on indoor unit SZ'!$I$6:$I$21))</f>
        <v>10.463111111111111</v>
      </c>
      <c r="AT140" s="170">
        <f ca="1">INDEX('Cap based on indoor unit SZ'!$J$6:$J$21,MATCH(AG140,'Cap based on indoor unit SZ'!$I$6:$I$21))</f>
        <v>10.463111111111111</v>
      </c>
      <c r="AU140" s="170">
        <f ca="1">INDEX('Cap based on indoor unit SZ'!$J$6:$J$21,MATCH(AH140,'Cap based on indoor unit SZ'!$I$6:$I$21))</f>
        <v>10.463111111111111</v>
      </c>
      <c r="AV140" s="170">
        <f ca="1">INDEX('Cap based on indoor unit SZ'!$J$6:$J$21,MATCH(AI140,'Cap based on indoor unit SZ'!$I$6:$I$21))</f>
        <v>24.452222222222218</v>
      </c>
      <c r="AW140" s="242">
        <f t="shared" si="108"/>
        <v>52</v>
      </c>
      <c r="AX140" s="170">
        <v>8</v>
      </c>
      <c r="AY140" s="170">
        <v>8</v>
      </c>
      <c r="AZ140" s="170">
        <v>8</v>
      </c>
      <c r="BA140" s="170">
        <v>8</v>
      </c>
      <c r="BB140" s="170">
        <v>20</v>
      </c>
      <c r="BC140" s="243">
        <f t="shared" ca="1" si="146"/>
        <v>45.37555555555555</v>
      </c>
      <c r="BD140" s="173">
        <f t="shared" ca="1" si="155"/>
        <v>6.8063333333333329</v>
      </c>
      <c r="BE140" s="173">
        <f t="shared" ca="1" si="155"/>
        <v>6.8063333333333329</v>
      </c>
      <c r="BF140" s="173">
        <f t="shared" ca="1" si="155"/>
        <v>6.8063333333333329</v>
      </c>
      <c r="BG140" s="173">
        <f t="shared" ca="1" si="155"/>
        <v>6.8063333333333329</v>
      </c>
      <c r="BH140" s="173">
        <f t="shared" ca="1" si="155"/>
        <v>18.150222222222219</v>
      </c>
      <c r="BI140" s="241">
        <f t="shared" ca="1" si="112"/>
        <v>54.037760683760695</v>
      </c>
      <c r="BJ140" s="167">
        <f t="shared" ca="1" si="156"/>
        <v>8.1056641025641039</v>
      </c>
      <c r="BK140" s="167">
        <f t="shared" ca="1" si="157"/>
        <v>8.1056641025641039</v>
      </c>
      <c r="BL140" s="167">
        <f t="shared" ca="1" si="158"/>
        <v>8.1056641025641039</v>
      </c>
      <c r="BM140" s="167">
        <f t="shared" ca="1" si="159"/>
        <v>8.1056641025641039</v>
      </c>
      <c r="BN140" s="167">
        <f t="shared" ca="1" si="160"/>
        <v>21.615104273504276</v>
      </c>
      <c r="BO140" s="242">
        <f t="shared" ca="1" si="147"/>
        <v>78.114082051282054</v>
      </c>
      <c r="BP140" s="170">
        <f ca="1">INDEX('Cap based on indoor unit SZ'!$V$43:$V$58,MATCH(AE140,'Cap based on indoor unit SZ'!$U$43:$U$58))</f>
        <v>11.956020512820512</v>
      </c>
      <c r="BQ140" s="170">
        <f ca="1">INDEX('Cap based on indoor unit SZ'!$V$43:$V$58,MATCH(AF140,'Cap based on indoor unit SZ'!$U$43:$U$58))</f>
        <v>11.956020512820512</v>
      </c>
      <c r="BR140" s="170">
        <f ca="1">INDEX('Cap based on indoor unit SZ'!$V$43:$V$58,MATCH(AG140,'Cap based on indoor unit SZ'!$U$43:$U$58))</f>
        <v>11.956020512820512</v>
      </c>
      <c r="BS140" s="170">
        <f ca="1">INDEX('Cap based on indoor unit SZ'!$V$43:$V$58,MATCH(AH140,'Cap based on indoor unit SZ'!$U$43:$U$58))</f>
        <v>11.956020512820512</v>
      </c>
      <c r="BT140" s="170">
        <f ca="1">INDEX('Cap based on indoor unit SZ'!$V$43:$V$58,MATCH(AI140,'Cap based on indoor unit SZ'!$U$43:$U$58))</f>
        <v>30.290000000000003</v>
      </c>
      <c r="BU140" s="175">
        <v>8500</v>
      </c>
      <c r="BV140" s="175">
        <v>8500</v>
      </c>
      <c r="BW140" s="175">
        <v>8500</v>
      </c>
      <c r="BX140" s="175">
        <v>8500</v>
      </c>
      <c r="BY140" s="175">
        <v>20500</v>
      </c>
      <c r="BZ140" s="243">
        <f t="shared" ca="1" si="116"/>
        <v>54.037760683760695</v>
      </c>
      <c r="CA140" s="173">
        <f t="shared" ca="1" si="161"/>
        <v>8.1056641025641039</v>
      </c>
      <c r="CB140" s="173">
        <f t="shared" ca="1" si="162"/>
        <v>8.1056641025641039</v>
      </c>
      <c r="CC140" s="173">
        <f t="shared" ca="1" si="163"/>
        <v>8.1056641025641039</v>
      </c>
      <c r="CD140" s="173">
        <f t="shared" ca="1" si="164"/>
        <v>8.1056641025641039</v>
      </c>
      <c r="CE140" s="173">
        <f t="shared" ca="1" si="165"/>
        <v>21.615104273504276</v>
      </c>
      <c r="CF140" s="241">
        <f t="shared" ca="1" si="148"/>
        <v>34.638560967605656</v>
      </c>
      <c r="CG140" s="167">
        <f t="shared" ca="1" si="149"/>
        <v>5.1957841451408493</v>
      </c>
      <c r="CH140" s="167">
        <f t="shared" ca="1" si="149"/>
        <v>5.1957841451408493</v>
      </c>
      <c r="CI140" s="167">
        <f t="shared" ca="1" si="149"/>
        <v>5.1957841451408493</v>
      </c>
      <c r="CJ140" s="167">
        <f t="shared" ca="1" si="149"/>
        <v>5.1957841451408493</v>
      </c>
      <c r="CK140" s="167">
        <f t="shared" ca="1" si="149"/>
        <v>13.855424387042262</v>
      </c>
    </row>
    <row r="141" spans="2:89">
      <c r="B141" s="284">
        <v>18</v>
      </c>
      <c r="C141" s="289">
        <v>71.599999999999994</v>
      </c>
      <c r="D141" s="290"/>
      <c r="E141" s="8" t="s">
        <v>17</v>
      </c>
      <c r="F141" s="9">
        <v>1.49</v>
      </c>
      <c r="G141" s="2">
        <v>1.52</v>
      </c>
      <c r="H141" s="2">
        <v>1.57</v>
      </c>
      <c r="I141" s="2">
        <v>1.58</v>
      </c>
      <c r="J141" s="2">
        <v>2.0499999999999998</v>
      </c>
      <c r="K141" s="2">
        <v>1.71</v>
      </c>
      <c r="L141" s="2">
        <v>1.74</v>
      </c>
      <c r="M141" s="2">
        <v>1.91</v>
      </c>
      <c r="N141" s="2">
        <v>1.89</v>
      </c>
      <c r="O141" s="2">
        <v>1.97</v>
      </c>
      <c r="P141" s="2">
        <v>2.0299999999999998</v>
      </c>
      <c r="Q141" s="2">
        <v>1.62</v>
      </c>
      <c r="R141" s="15"/>
      <c r="AC141" s="164" t="s">
        <v>140</v>
      </c>
      <c r="AD141" s="164">
        <v>48</v>
      </c>
      <c r="AE141" s="165">
        <v>9</v>
      </c>
      <c r="AF141" s="165">
        <v>9</v>
      </c>
      <c r="AG141" s="165">
        <v>9</v>
      </c>
      <c r="AH141" s="165">
        <v>12</v>
      </c>
      <c r="AI141" s="165">
        <v>12</v>
      </c>
      <c r="AJ141" s="501"/>
      <c r="AK141" s="241">
        <f t="shared" ca="1" si="104"/>
        <v>45.375555555555557</v>
      </c>
      <c r="AL141" s="167">
        <f t="shared" ca="1" si="150"/>
        <v>8.0074509803921572</v>
      </c>
      <c r="AM141" s="167">
        <f t="shared" ca="1" si="151"/>
        <v>8.0074509803921572</v>
      </c>
      <c r="AN141" s="167">
        <f t="shared" ca="1" si="152"/>
        <v>8.0074509803921572</v>
      </c>
      <c r="AO141" s="167">
        <f t="shared" ca="1" si="153"/>
        <v>10.676601307189543</v>
      </c>
      <c r="AP141" s="167">
        <f t="shared" ca="1" si="154"/>
        <v>10.676601307189543</v>
      </c>
      <c r="AQ141" s="242">
        <f t="shared" ca="1" si="145"/>
        <v>57.547111111111114</v>
      </c>
      <c r="AR141" s="170">
        <f ca="1">INDEX('Cap based on indoor unit SZ'!$J$6:$J$21,MATCH(AE141,'Cap based on indoor unit SZ'!$I$6:$I$21))</f>
        <v>10.463111111111111</v>
      </c>
      <c r="AS141" s="170">
        <f ca="1">INDEX('Cap based on indoor unit SZ'!$J$6:$J$21,MATCH(AF141,'Cap based on indoor unit SZ'!$I$6:$I$21))</f>
        <v>10.463111111111111</v>
      </c>
      <c r="AT141" s="170">
        <f ca="1">INDEX('Cap based on indoor unit SZ'!$J$6:$J$21,MATCH(AG141,'Cap based on indoor unit SZ'!$I$6:$I$21))</f>
        <v>10.463111111111111</v>
      </c>
      <c r="AU141" s="170">
        <f ca="1">INDEX('Cap based on indoor unit SZ'!$J$6:$J$21,MATCH(AH141,'Cap based on indoor unit SZ'!$I$6:$I$21))</f>
        <v>13.078888888888891</v>
      </c>
      <c r="AV141" s="170">
        <f ca="1">INDEX('Cap based on indoor unit SZ'!$J$6:$J$21,MATCH(AI141,'Cap based on indoor unit SZ'!$I$6:$I$21))</f>
        <v>13.078888888888891</v>
      </c>
      <c r="AW141" s="242">
        <f t="shared" si="108"/>
        <v>49</v>
      </c>
      <c r="AX141" s="170">
        <v>9</v>
      </c>
      <c r="AY141" s="170">
        <v>9</v>
      </c>
      <c r="AZ141" s="170">
        <v>9</v>
      </c>
      <c r="BA141" s="170">
        <v>11</v>
      </c>
      <c r="BB141" s="170">
        <v>11</v>
      </c>
      <c r="BC141" s="243">
        <f t="shared" ca="1" si="146"/>
        <v>45.375555555555557</v>
      </c>
      <c r="BD141" s="173">
        <f t="shared" ca="1" si="155"/>
        <v>8.0074509803921572</v>
      </c>
      <c r="BE141" s="173">
        <f t="shared" ca="1" si="155"/>
        <v>8.0074509803921572</v>
      </c>
      <c r="BF141" s="173">
        <f t="shared" ca="1" si="155"/>
        <v>8.0074509803921572</v>
      </c>
      <c r="BG141" s="173">
        <f t="shared" ca="1" si="155"/>
        <v>10.676601307189543</v>
      </c>
      <c r="BH141" s="173">
        <f t="shared" ca="1" si="155"/>
        <v>10.676601307189543</v>
      </c>
      <c r="BI141" s="241">
        <f t="shared" ca="1" si="112"/>
        <v>54.037760683760695</v>
      </c>
      <c r="BJ141" s="167">
        <f t="shared" ca="1" si="156"/>
        <v>9.5360754147812994</v>
      </c>
      <c r="BK141" s="167">
        <f t="shared" ca="1" si="157"/>
        <v>9.5360754147812994</v>
      </c>
      <c r="BL141" s="167">
        <f t="shared" ca="1" si="158"/>
        <v>9.5360754147812994</v>
      </c>
      <c r="BM141" s="167">
        <f t="shared" ca="1" si="159"/>
        <v>12.714767219708399</v>
      </c>
      <c r="BN141" s="167">
        <f t="shared" ca="1" si="160"/>
        <v>12.714767219708399</v>
      </c>
      <c r="BO141" s="242">
        <f t="shared" ca="1" si="147"/>
        <v>65.758112820512807</v>
      </c>
      <c r="BP141" s="170">
        <f ca="1">INDEX('Cap based on indoor unit SZ'!$V$43:$V$58,MATCH(AE141,'Cap based on indoor unit SZ'!$U$43:$U$58))</f>
        <v>11.956020512820512</v>
      </c>
      <c r="BQ141" s="170">
        <f ca="1">INDEX('Cap based on indoor unit SZ'!$V$43:$V$58,MATCH(AF141,'Cap based on indoor unit SZ'!$U$43:$U$58))</f>
        <v>11.956020512820512</v>
      </c>
      <c r="BR141" s="170">
        <f ca="1">INDEX('Cap based on indoor unit SZ'!$V$43:$V$58,MATCH(AG141,'Cap based on indoor unit SZ'!$U$43:$U$58))</f>
        <v>11.956020512820512</v>
      </c>
      <c r="BS141" s="170">
        <f ca="1">INDEX('Cap based on indoor unit SZ'!$V$43:$V$58,MATCH(AH141,'Cap based on indoor unit SZ'!$U$43:$U$58))</f>
        <v>14.945025641025641</v>
      </c>
      <c r="BT141" s="170">
        <f ca="1">INDEX('Cap based on indoor unit SZ'!$V$43:$V$58,MATCH(AI141,'Cap based on indoor unit SZ'!$U$43:$U$58))</f>
        <v>14.945025641025641</v>
      </c>
      <c r="BU141" s="175">
        <v>9000</v>
      </c>
      <c r="BV141" s="175">
        <v>9000</v>
      </c>
      <c r="BW141" s="175">
        <v>9000</v>
      </c>
      <c r="BX141" s="175">
        <v>12000</v>
      </c>
      <c r="BY141" s="175">
        <v>12000</v>
      </c>
      <c r="BZ141" s="243">
        <f t="shared" ca="1" si="116"/>
        <v>54.037760683760695</v>
      </c>
      <c r="CA141" s="173">
        <f t="shared" ca="1" si="161"/>
        <v>9.5360754147812994</v>
      </c>
      <c r="CB141" s="173">
        <f t="shared" ca="1" si="162"/>
        <v>9.5360754147812994</v>
      </c>
      <c r="CC141" s="173">
        <f t="shared" ca="1" si="163"/>
        <v>9.5360754147812994</v>
      </c>
      <c r="CD141" s="173">
        <f t="shared" ca="1" si="164"/>
        <v>12.714767219708399</v>
      </c>
      <c r="CE141" s="173">
        <f t="shared" ca="1" si="165"/>
        <v>12.714767219708399</v>
      </c>
      <c r="CF141" s="241">
        <f t="shared" ca="1" si="148"/>
        <v>34.638560967605663</v>
      </c>
      <c r="CG141" s="167">
        <f t="shared" ca="1" si="149"/>
        <v>6.1126872295774701</v>
      </c>
      <c r="CH141" s="167">
        <f t="shared" ca="1" si="149"/>
        <v>6.1126872295774701</v>
      </c>
      <c r="CI141" s="167">
        <f t="shared" ca="1" si="149"/>
        <v>6.1126872295774701</v>
      </c>
      <c r="CJ141" s="167">
        <f t="shared" ca="1" si="149"/>
        <v>8.1502496394366268</v>
      </c>
      <c r="CK141" s="167">
        <f t="shared" ca="1" si="149"/>
        <v>8.1502496394366268</v>
      </c>
    </row>
    <row r="142" spans="2:89">
      <c r="B142" s="283">
        <v>24</v>
      </c>
      <c r="C142" s="285">
        <v>59</v>
      </c>
      <c r="D142" s="286"/>
      <c r="E142" s="8" t="s">
        <v>17</v>
      </c>
      <c r="F142" s="9">
        <v>2.97</v>
      </c>
      <c r="G142" s="2">
        <v>3.24</v>
      </c>
      <c r="H142" s="2">
        <v>3.28</v>
      </c>
      <c r="I142" s="2">
        <v>3.5</v>
      </c>
      <c r="J142" s="2">
        <v>3.62</v>
      </c>
      <c r="K142" s="2">
        <v>2.7</v>
      </c>
      <c r="L142" s="2">
        <v>2.83</v>
      </c>
      <c r="M142" s="2">
        <v>2.91</v>
      </c>
      <c r="N142" s="2">
        <v>2.69</v>
      </c>
      <c r="O142" s="2">
        <v>2.82</v>
      </c>
      <c r="P142" s="2">
        <v>3</v>
      </c>
      <c r="Q142" s="2">
        <v>2.75</v>
      </c>
      <c r="R142" s="3"/>
      <c r="AC142" s="164" t="s">
        <v>139</v>
      </c>
      <c r="AD142" s="164">
        <v>48</v>
      </c>
      <c r="AE142" s="165">
        <v>9</v>
      </c>
      <c r="AF142" s="165">
        <v>9</v>
      </c>
      <c r="AG142" s="165">
        <v>9</v>
      </c>
      <c r="AH142" s="165">
        <v>12</v>
      </c>
      <c r="AI142" s="165">
        <v>18</v>
      </c>
      <c r="AJ142" s="501"/>
      <c r="AK142" s="241">
        <f t="shared" ca="1" si="104"/>
        <v>45.37555555555555</v>
      </c>
      <c r="AL142" s="167">
        <f t="shared" ca="1" si="150"/>
        <v>7.1645614035087712</v>
      </c>
      <c r="AM142" s="167">
        <f t="shared" ca="1" si="151"/>
        <v>7.1645614035087712</v>
      </c>
      <c r="AN142" s="167">
        <f t="shared" ca="1" si="152"/>
        <v>7.1645614035087712</v>
      </c>
      <c r="AO142" s="167">
        <f t="shared" ca="1" si="153"/>
        <v>9.552748538011695</v>
      </c>
      <c r="AP142" s="167">
        <f t="shared" ca="1" si="154"/>
        <v>14.329122807017542</v>
      </c>
      <c r="AQ142" s="242">
        <f t="shared" ca="1" si="145"/>
        <v>64.289333333333332</v>
      </c>
      <c r="AR142" s="170">
        <f ca="1">INDEX('Cap based on indoor unit SZ'!$J$6:$J$21,MATCH(AE142,'Cap based on indoor unit SZ'!$I$6:$I$21))</f>
        <v>10.463111111111111</v>
      </c>
      <c r="AS142" s="170">
        <f ca="1">INDEX('Cap based on indoor unit SZ'!$J$6:$J$21,MATCH(AF142,'Cap based on indoor unit SZ'!$I$6:$I$21))</f>
        <v>10.463111111111111</v>
      </c>
      <c r="AT142" s="170">
        <f ca="1">INDEX('Cap based on indoor unit SZ'!$J$6:$J$21,MATCH(AG142,'Cap based on indoor unit SZ'!$I$6:$I$21))</f>
        <v>10.463111111111111</v>
      </c>
      <c r="AU142" s="170">
        <f ca="1">INDEX('Cap based on indoor unit SZ'!$J$6:$J$21,MATCH(AH142,'Cap based on indoor unit SZ'!$I$6:$I$21))</f>
        <v>13.078888888888891</v>
      </c>
      <c r="AV142" s="170">
        <f ca="1">INDEX('Cap based on indoor unit SZ'!$J$6:$J$21,MATCH(AI142,'Cap based on indoor unit SZ'!$I$6:$I$21))</f>
        <v>19.821111111111112</v>
      </c>
      <c r="AW142" s="242">
        <f t="shared" si="108"/>
        <v>51</v>
      </c>
      <c r="AX142" s="170">
        <v>8</v>
      </c>
      <c r="AY142" s="170">
        <v>8</v>
      </c>
      <c r="AZ142" s="170">
        <v>8</v>
      </c>
      <c r="BA142" s="170">
        <v>11</v>
      </c>
      <c r="BB142" s="170">
        <v>16</v>
      </c>
      <c r="BC142" s="243">
        <f t="shared" ca="1" si="146"/>
        <v>45.37555555555555</v>
      </c>
      <c r="BD142" s="173">
        <f t="shared" ca="1" si="155"/>
        <v>7.1645614035087712</v>
      </c>
      <c r="BE142" s="173">
        <f t="shared" ca="1" si="155"/>
        <v>7.1645614035087712</v>
      </c>
      <c r="BF142" s="173">
        <f t="shared" ca="1" si="155"/>
        <v>7.1645614035087712</v>
      </c>
      <c r="BG142" s="173">
        <f t="shared" ca="1" si="155"/>
        <v>9.552748538011695</v>
      </c>
      <c r="BH142" s="173">
        <f t="shared" ca="1" si="155"/>
        <v>14.329122807017542</v>
      </c>
      <c r="BI142" s="241">
        <f t="shared" ca="1" si="112"/>
        <v>54.037760683760695</v>
      </c>
      <c r="BJ142" s="167">
        <f t="shared" ca="1" si="156"/>
        <v>8.5322780026990568</v>
      </c>
      <c r="BK142" s="167">
        <f t="shared" ca="1" si="157"/>
        <v>8.5322780026990568</v>
      </c>
      <c r="BL142" s="167">
        <f t="shared" ca="1" si="158"/>
        <v>8.5322780026990568</v>
      </c>
      <c r="BM142" s="167">
        <f t="shared" ca="1" si="159"/>
        <v>11.376370670265409</v>
      </c>
      <c r="BN142" s="167">
        <f t="shared" ca="1" si="160"/>
        <v>17.064556005398114</v>
      </c>
      <c r="BO142" s="242">
        <f t="shared" ca="1" si="147"/>
        <v>75.411907692307679</v>
      </c>
      <c r="BP142" s="170">
        <f ca="1">INDEX('Cap based on indoor unit SZ'!$V$43:$V$58,MATCH(AE142,'Cap based on indoor unit SZ'!$U$43:$U$58))</f>
        <v>11.956020512820512</v>
      </c>
      <c r="BQ142" s="170">
        <f ca="1">INDEX('Cap based on indoor unit SZ'!$V$43:$V$58,MATCH(AF142,'Cap based on indoor unit SZ'!$U$43:$U$58))</f>
        <v>11.956020512820512</v>
      </c>
      <c r="BR142" s="170">
        <f ca="1">INDEX('Cap based on indoor unit SZ'!$V$43:$V$58,MATCH(AG142,'Cap based on indoor unit SZ'!$U$43:$U$58))</f>
        <v>11.956020512820512</v>
      </c>
      <c r="BS142" s="170">
        <f ca="1">INDEX('Cap based on indoor unit SZ'!$V$43:$V$58,MATCH(AH142,'Cap based on indoor unit SZ'!$U$43:$U$58))</f>
        <v>14.945025641025641</v>
      </c>
      <c r="BT142" s="170">
        <f ca="1">INDEX('Cap based on indoor unit SZ'!$V$43:$V$58,MATCH(AI142,'Cap based on indoor unit SZ'!$U$43:$U$58))</f>
        <v>24.598820512820513</v>
      </c>
      <c r="BU142" s="175">
        <v>8500</v>
      </c>
      <c r="BV142" s="175">
        <v>8500</v>
      </c>
      <c r="BW142" s="175">
        <v>8500</v>
      </c>
      <c r="BX142" s="175">
        <v>11500</v>
      </c>
      <c r="BY142" s="175">
        <v>17000</v>
      </c>
      <c r="BZ142" s="243">
        <f t="shared" ca="1" si="116"/>
        <v>54.037760683760695</v>
      </c>
      <c r="CA142" s="173">
        <f t="shared" ca="1" si="161"/>
        <v>8.5322780026990568</v>
      </c>
      <c r="CB142" s="173">
        <f t="shared" ca="1" si="162"/>
        <v>8.5322780026990568</v>
      </c>
      <c r="CC142" s="173">
        <f t="shared" ca="1" si="163"/>
        <v>8.5322780026990568</v>
      </c>
      <c r="CD142" s="173">
        <f t="shared" ca="1" si="164"/>
        <v>11.376370670265409</v>
      </c>
      <c r="CE142" s="173">
        <f t="shared" ca="1" si="165"/>
        <v>17.064556005398114</v>
      </c>
      <c r="CF142" s="241">
        <f t="shared" ca="1" si="148"/>
        <v>34.638560967605656</v>
      </c>
      <c r="CG142" s="167">
        <f t="shared" ca="1" si="149"/>
        <v>5.469246468569315</v>
      </c>
      <c r="CH142" s="167">
        <f t="shared" ca="1" si="149"/>
        <v>5.469246468569315</v>
      </c>
      <c r="CI142" s="167">
        <f t="shared" ca="1" si="149"/>
        <v>5.469246468569315</v>
      </c>
      <c r="CJ142" s="167">
        <f t="shared" ca="1" si="149"/>
        <v>7.2923286247590866</v>
      </c>
      <c r="CK142" s="167">
        <f t="shared" ca="1" si="149"/>
        <v>10.93849293713863</v>
      </c>
    </row>
    <row r="143" spans="2:89">
      <c r="B143" s="283">
        <v>24</v>
      </c>
      <c r="C143" s="287">
        <v>64.400000000000006</v>
      </c>
      <c r="D143" s="288"/>
      <c r="E143" s="8" t="s">
        <v>17</v>
      </c>
      <c r="F143" s="9">
        <v>3.05</v>
      </c>
      <c r="G143" s="2">
        <v>3.32</v>
      </c>
      <c r="H143" s="2">
        <v>3.36</v>
      </c>
      <c r="I143" s="2">
        <v>3.59</v>
      </c>
      <c r="J143" s="2">
        <v>3.71</v>
      </c>
      <c r="K143" s="2">
        <v>2.77</v>
      </c>
      <c r="L143" s="2">
        <v>2.9</v>
      </c>
      <c r="M143" s="2">
        <v>2.98</v>
      </c>
      <c r="N143" s="2">
        <v>2.76</v>
      </c>
      <c r="O143" s="2">
        <v>2.93</v>
      </c>
      <c r="P143" s="2">
        <v>3.03</v>
      </c>
      <c r="Q143" s="2">
        <v>2.78</v>
      </c>
      <c r="R143" s="3"/>
      <c r="AC143" s="164" t="s">
        <v>138</v>
      </c>
      <c r="AD143" s="164">
        <v>48</v>
      </c>
      <c r="AE143" s="165">
        <v>9</v>
      </c>
      <c r="AF143" s="165">
        <v>9</v>
      </c>
      <c r="AG143" s="165">
        <v>9</v>
      </c>
      <c r="AH143" s="165">
        <v>18</v>
      </c>
      <c r="AI143" s="165">
        <v>18</v>
      </c>
      <c r="AJ143" s="501"/>
      <c r="AK143" s="241">
        <f t="shared" ca="1" si="104"/>
        <v>45.37555555555555</v>
      </c>
      <c r="AL143" s="167">
        <f t="shared" ca="1" si="150"/>
        <v>6.4822222222222212</v>
      </c>
      <c r="AM143" s="167">
        <f t="shared" ca="1" si="151"/>
        <v>6.4822222222222212</v>
      </c>
      <c r="AN143" s="167">
        <f t="shared" ca="1" si="152"/>
        <v>6.4822222222222212</v>
      </c>
      <c r="AO143" s="167">
        <f t="shared" ca="1" si="153"/>
        <v>12.964444444444442</v>
      </c>
      <c r="AP143" s="167">
        <f t="shared" ca="1" si="154"/>
        <v>12.964444444444442</v>
      </c>
      <c r="AQ143" s="242">
        <f t="shared" ca="1" si="145"/>
        <v>71.031555555555556</v>
      </c>
      <c r="AR143" s="170">
        <f ca="1">INDEX('Cap based on indoor unit SZ'!$J$6:$J$21,MATCH(AE143,'Cap based on indoor unit SZ'!$I$6:$I$21))</f>
        <v>10.463111111111111</v>
      </c>
      <c r="AS143" s="170">
        <f ca="1">INDEX('Cap based on indoor unit SZ'!$J$6:$J$21,MATCH(AF143,'Cap based on indoor unit SZ'!$I$6:$I$21))</f>
        <v>10.463111111111111</v>
      </c>
      <c r="AT143" s="170">
        <f ca="1">INDEX('Cap based on indoor unit SZ'!$J$6:$J$21,MATCH(AG143,'Cap based on indoor unit SZ'!$I$6:$I$21))</f>
        <v>10.463111111111111</v>
      </c>
      <c r="AU143" s="170">
        <f ca="1">INDEX('Cap based on indoor unit SZ'!$J$6:$J$21,MATCH(AH143,'Cap based on indoor unit SZ'!$I$6:$I$21))</f>
        <v>19.821111111111112</v>
      </c>
      <c r="AV143" s="170">
        <f ca="1">INDEX('Cap based on indoor unit SZ'!$J$6:$J$21,MATCH(AI143,'Cap based on indoor unit SZ'!$I$6:$I$21))</f>
        <v>19.821111111111112</v>
      </c>
      <c r="AW143" s="242">
        <f t="shared" si="108"/>
        <v>52.5</v>
      </c>
      <c r="AX143" s="170">
        <v>7.5</v>
      </c>
      <c r="AY143" s="170">
        <v>7.5</v>
      </c>
      <c r="AZ143" s="170">
        <v>7.5</v>
      </c>
      <c r="BA143" s="170">
        <v>15</v>
      </c>
      <c r="BB143" s="170">
        <v>15</v>
      </c>
      <c r="BC143" s="243">
        <f t="shared" ca="1" si="146"/>
        <v>45.37555555555555</v>
      </c>
      <c r="BD143" s="173">
        <f t="shared" ca="1" si="155"/>
        <v>6.4822222222222212</v>
      </c>
      <c r="BE143" s="173">
        <f t="shared" ca="1" si="155"/>
        <v>6.4822222222222212</v>
      </c>
      <c r="BF143" s="173">
        <f t="shared" ca="1" si="155"/>
        <v>6.4822222222222212</v>
      </c>
      <c r="BG143" s="173">
        <f t="shared" ca="1" si="155"/>
        <v>12.964444444444442</v>
      </c>
      <c r="BH143" s="173">
        <f t="shared" ca="1" si="155"/>
        <v>12.964444444444442</v>
      </c>
      <c r="BI143" s="241">
        <f t="shared" ca="1" si="112"/>
        <v>54.037760683760688</v>
      </c>
      <c r="BJ143" s="167">
        <f t="shared" ca="1" si="156"/>
        <v>7.7196800976800981</v>
      </c>
      <c r="BK143" s="167">
        <f t="shared" ca="1" si="157"/>
        <v>7.7196800976800981</v>
      </c>
      <c r="BL143" s="167">
        <f t="shared" ca="1" si="158"/>
        <v>7.7196800976800981</v>
      </c>
      <c r="BM143" s="167">
        <f t="shared" ca="1" si="159"/>
        <v>15.439360195360196</v>
      </c>
      <c r="BN143" s="167">
        <f t="shared" ca="1" si="160"/>
        <v>15.439360195360196</v>
      </c>
      <c r="BO143" s="242">
        <f t="shared" ca="1" si="147"/>
        <v>85.065702564102551</v>
      </c>
      <c r="BP143" s="170">
        <f ca="1">INDEX('Cap based on indoor unit SZ'!$V$43:$V$58,MATCH(AE143,'Cap based on indoor unit SZ'!$U$43:$U$58))</f>
        <v>11.956020512820512</v>
      </c>
      <c r="BQ143" s="170">
        <f ca="1">INDEX('Cap based on indoor unit SZ'!$V$43:$V$58,MATCH(AF143,'Cap based on indoor unit SZ'!$U$43:$U$58))</f>
        <v>11.956020512820512</v>
      </c>
      <c r="BR143" s="170">
        <f ca="1">INDEX('Cap based on indoor unit SZ'!$V$43:$V$58,MATCH(AG143,'Cap based on indoor unit SZ'!$U$43:$U$58))</f>
        <v>11.956020512820512</v>
      </c>
      <c r="BS143" s="170">
        <f ca="1">INDEX('Cap based on indoor unit SZ'!$V$43:$V$58,MATCH(AH143,'Cap based on indoor unit SZ'!$U$43:$U$58))</f>
        <v>24.598820512820513</v>
      </c>
      <c r="BT143" s="170">
        <f ca="1">INDEX('Cap based on indoor unit SZ'!$V$43:$V$58,MATCH(AI143,'Cap based on indoor unit SZ'!$U$43:$U$58))</f>
        <v>24.598820512820513</v>
      </c>
      <c r="BU143" s="175">
        <v>8000</v>
      </c>
      <c r="BV143" s="175">
        <v>8000</v>
      </c>
      <c r="BW143" s="175">
        <v>8000</v>
      </c>
      <c r="BX143" s="175">
        <v>15500</v>
      </c>
      <c r="BY143" s="175">
        <v>15500</v>
      </c>
      <c r="BZ143" s="243">
        <f t="shared" ca="1" si="116"/>
        <v>54.037760683760688</v>
      </c>
      <c r="CA143" s="173">
        <f t="shared" ca="1" si="161"/>
        <v>7.7196800976800981</v>
      </c>
      <c r="CB143" s="173">
        <f t="shared" ca="1" si="162"/>
        <v>7.7196800976800981</v>
      </c>
      <c r="CC143" s="173">
        <f t="shared" ca="1" si="163"/>
        <v>7.7196800976800981</v>
      </c>
      <c r="CD143" s="173">
        <f t="shared" ca="1" si="164"/>
        <v>15.439360195360196</v>
      </c>
      <c r="CE143" s="173">
        <f t="shared" ca="1" si="165"/>
        <v>15.439360195360196</v>
      </c>
      <c r="CF143" s="241">
        <f t="shared" ca="1" si="148"/>
        <v>34.638560967605656</v>
      </c>
      <c r="CG143" s="167">
        <f t="shared" ca="1" si="149"/>
        <v>4.948365852515094</v>
      </c>
      <c r="CH143" s="167">
        <f t="shared" ca="1" si="149"/>
        <v>4.948365852515094</v>
      </c>
      <c r="CI143" s="167">
        <f t="shared" ca="1" si="149"/>
        <v>4.948365852515094</v>
      </c>
      <c r="CJ143" s="167">
        <f t="shared" ca="1" si="149"/>
        <v>9.896731705030188</v>
      </c>
      <c r="CK143" s="167">
        <f t="shared" ca="1" si="149"/>
        <v>9.896731705030188</v>
      </c>
    </row>
    <row r="144" spans="2:89">
      <c r="B144" s="283">
        <v>24</v>
      </c>
      <c r="C144" s="289">
        <v>69</v>
      </c>
      <c r="D144" s="290"/>
      <c r="E144" s="8" t="s">
        <v>17</v>
      </c>
      <c r="F144" s="9">
        <v>3.11</v>
      </c>
      <c r="G144" s="2">
        <v>3.39</v>
      </c>
      <c r="H144" s="2">
        <v>3.43</v>
      </c>
      <c r="I144" s="2">
        <v>3.67</v>
      </c>
      <c r="J144" s="2">
        <v>3.79</v>
      </c>
      <c r="K144" s="2">
        <v>2.83</v>
      </c>
      <c r="L144" s="2">
        <v>2.97</v>
      </c>
      <c r="M144" s="2">
        <v>3.05</v>
      </c>
      <c r="N144" s="2">
        <v>2.82</v>
      </c>
      <c r="O144" s="2">
        <v>3</v>
      </c>
      <c r="P144" s="2">
        <v>3.09</v>
      </c>
      <c r="Q144" s="2">
        <v>3.22</v>
      </c>
      <c r="R144" s="15"/>
      <c r="AC144" s="164" t="s">
        <v>137</v>
      </c>
      <c r="AD144" s="164">
        <v>48</v>
      </c>
      <c r="AE144" s="165">
        <v>9</v>
      </c>
      <c r="AF144" s="165">
        <v>9</v>
      </c>
      <c r="AG144" s="165">
        <v>12</v>
      </c>
      <c r="AH144" s="165">
        <v>12</v>
      </c>
      <c r="AI144" s="165">
        <v>12</v>
      </c>
      <c r="AJ144" s="501"/>
      <c r="AK144" s="241">
        <f t="shared" ca="1" si="104"/>
        <v>45.375555555555557</v>
      </c>
      <c r="AL144" s="167">
        <f t="shared" ca="1" si="150"/>
        <v>7.5625925925925932</v>
      </c>
      <c r="AM144" s="167">
        <f t="shared" ca="1" si="151"/>
        <v>7.5625925925925932</v>
      </c>
      <c r="AN144" s="167">
        <f t="shared" ca="1" si="152"/>
        <v>10.083456790123456</v>
      </c>
      <c r="AO144" s="167">
        <f t="shared" ca="1" si="153"/>
        <v>10.083456790123456</v>
      </c>
      <c r="AP144" s="167">
        <f t="shared" ca="1" si="154"/>
        <v>10.083456790123456</v>
      </c>
      <c r="AQ144" s="242">
        <f t="shared" ca="1" si="145"/>
        <v>60.162888888888894</v>
      </c>
      <c r="AR144" s="170">
        <f ca="1">INDEX('Cap based on indoor unit SZ'!$J$6:$J$21,MATCH(AE144,'Cap based on indoor unit SZ'!$I$6:$I$21))</f>
        <v>10.463111111111111</v>
      </c>
      <c r="AS144" s="170">
        <f ca="1">INDEX('Cap based on indoor unit SZ'!$J$6:$J$21,MATCH(AF144,'Cap based on indoor unit SZ'!$I$6:$I$21))</f>
        <v>10.463111111111111</v>
      </c>
      <c r="AT144" s="170">
        <f ca="1">INDEX('Cap based on indoor unit SZ'!$J$6:$J$21,MATCH(AG144,'Cap based on indoor unit SZ'!$I$6:$I$21))</f>
        <v>13.078888888888891</v>
      </c>
      <c r="AU144" s="170">
        <f ca="1">INDEX('Cap based on indoor unit SZ'!$J$6:$J$21,MATCH(AH144,'Cap based on indoor unit SZ'!$I$6:$I$21))</f>
        <v>13.078888888888891</v>
      </c>
      <c r="AV144" s="170">
        <f ca="1">INDEX('Cap based on indoor unit SZ'!$J$6:$J$21,MATCH(AI144,'Cap based on indoor unit SZ'!$I$6:$I$21))</f>
        <v>13.078888888888891</v>
      </c>
      <c r="AW144" s="242">
        <f t="shared" si="108"/>
        <v>50</v>
      </c>
      <c r="AX144" s="170">
        <v>8.5</v>
      </c>
      <c r="AY144" s="170">
        <v>8.5</v>
      </c>
      <c r="AZ144" s="170">
        <v>11</v>
      </c>
      <c r="BA144" s="170">
        <v>11</v>
      </c>
      <c r="BB144" s="170">
        <v>11</v>
      </c>
      <c r="BC144" s="243">
        <f t="shared" ca="1" si="146"/>
        <v>45.375555555555557</v>
      </c>
      <c r="BD144" s="173">
        <f t="shared" ca="1" si="155"/>
        <v>7.5625925925925932</v>
      </c>
      <c r="BE144" s="173">
        <f t="shared" ca="1" si="155"/>
        <v>7.5625925925925932</v>
      </c>
      <c r="BF144" s="173">
        <f t="shared" ca="1" si="155"/>
        <v>10.083456790123456</v>
      </c>
      <c r="BG144" s="173">
        <f t="shared" ca="1" si="155"/>
        <v>10.083456790123456</v>
      </c>
      <c r="BH144" s="173">
        <f t="shared" ca="1" si="155"/>
        <v>10.083456790123456</v>
      </c>
      <c r="BI144" s="241">
        <f t="shared" ca="1" si="112"/>
        <v>54.037760683760695</v>
      </c>
      <c r="BJ144" s="167">
        <f t="shared" ca="1" si="156"/>
        <v>9.0062934472934497</v>
      </c>
      <c r="BK144" s="167">
        <f t="shared" ca="1" si="157"/>
        <v>9.0062934472934497</v>
      </c>
      <c r="BL144" s="167">
        <f t="shared" ca="1" si="158"/>
        <v>12.008391263057932</v>
      </c>
      <c r="BM144" s="167">
        <f t="shared" ca="1" si="159"/>
        <v>12.008391263057932</v>
      </c>
      <c r="BN144" s="167">
        <f t="shared" ca="1" si="160"/>
        <v>12.008391263057932</v>
      </c>
      <c r="BO144" s="242">
        <f t="shared" ca="1" si="147"/>
        <v>68.747117948717943</v>
      </c>
      <c r="BP144" s="170">
        <f ca="1">INDEX('Cap based on indoor unit SZ'!$V$43:$V$58,MATCH(AE144,'Cap based on indoor unit SZ'!$U$43:$U$58))</f>
        <v>11.956020512820512</v>
      </c>
      <c r="BQ144" s="170">
        <f ca="1">INDEX('Cap based on indoor unit SZ'!$V$43:$V$58,MATCH(AF144,'Cap based on indoor unit SZ'!$U$43:$U$58))</f>
        <v>11.956020512820512</v>
      </c>
      <c r="BR144" s="170">
        <f ca="1">INDEX('Cap based on indoor unit SZ'!$V$43:$V$58,MATCH(AG144,'Cap based on indoor unit SZ'!$U$43:$U$58))</f>
        <v>14.945025641025641</v>
      </c>
      <c r="BS144" s="170">
        <f ca="1">INDEX('Cap based on indoor unit SZ'!$V$43:$V$58,MATCH(AH144,'Cap based on indoor unit SZ'!$U$43:$U$58))</f>
        <v>14.945025641025641</v>
      </c>
      <c r="BT144" s="170">
        <f ca="1">INDEX('Cap based on indoor unit SZ'!$V$43:$V$58,MATCH(AI144,'Cap based on indoor unit SZ'!$U$43:$U$58))</f>
        <v>14.945025641025641</v>
      </c>
      <c r="BU144" s="175">
        <v>9000</v>
      </c>
      <c r="BV144" s="175">
        <v>9000</v>
      </c>
      <c r="BW144" s="175">
        <v>12000</v>
      </c>
      <c r="BX144" s="175">
        <v>12000</v>
      </c>
      <c r="BY144" s="175">
        <v>12000</v>
      </c>
      <c r="BZ144" s="243">
        <f t="shared" ca="1" si="116"/>
        <v>54.037760683760695</v>
      </c>
      <c r="CA144" s="173">
        <f t="shared" ca="1" si="161"/>
        <v>9.0062934472934497</v>
      </c>
      <c r="CB144" s="173">
        <f t="shared" ca="1" si="162"/>
        <v>9.0062934472934497</v>
      </c>
      <c r="CC144" s="173">
        <f t="shared" ca="1" si="163"/>
        <v>12.008391263057932</v>
      </c>
      <c r="CD144" s="173">
        <f t="shared" ca="1" si="164"/>
        <v>12.008391263057932</v>
      </c>
      <c r="CE144" s="173">
        <f t="shared" ca="1" si="165"/>
        <v>12.008391263057932</v>
      </c>
      <c r="CF144" s="241">
        <f t="shared" ca="1" si="148"/>
        <v>34.638560967605663</v>
      </c>
      <c r="CG144" s="167">
        <f t="shared" ca="1" si="149"/>
        <v>5.7730934946009445</v>
      </c>
      <c r="CH144" s="167">
        <f t="shared" ca="1" si="149"/>
        <v>5.7730934946009445</v>
      </c>
      <c r="CI144" s="167">
        <f t="shared" ca="1" si="149"/>
        <v>7.6974579928012581</v>
      </c>
      <c r="CJ144" s="167">
        <f t="shared" ca="1" si="149"/>
        <v>7.6974579928012581</v>
      </c>
      <c r="CK144" s="167">
        <f t="shared" ca="1" si="149"/>
        <v>7.6974579928012581</v>
      </c>
    </row>
    <row r="145" spans="2:89">
      <c r="B145" s="283">
        <v>24</v>
      </c>
      <c r="C145" s="285">
        <v>71.599999999999994</v>
      </c>
      <c r="D145" s="286"/>
      <c r="E145" s="8" t="s">
        <v>17</v>
      </c>
      <c r="F145" s="9">
        <v>3.19</v>
      </c>
      <c r="G145" s="2">
        <v>3.47</v>
      </c>
      <c r="H145" s="2">
        <v>3.51</v>
      </c>
      <c r="I145" s="2">
        <v>3.75</v>
      </c>
      <c r="J145" s="2">
        <v>3.88</v>
      </c>
      <c r="K145" s="2">
        <v>2.89</v>
      </c>
      <c r="L145" s="2">
        <v>3.03</v>
      </c>
      <c r="M145" s="2">
        <v>3.12</v>
      </c>
      <c r="N145" s="2">
        <v>2.88</v>
      </c>
      <c r="O145" s="2">
        <v>3.06</v>
      </c>
      <c r="P145" s="2">
        <v>3.12</v>
      </c>
      <c r="Q145" s="2">
        <v>3.25</v>
      </c>
      <c r="R145" s="3"/>
      <c r="AC145" s="164" t="s">
        <v>136</v>
      </c>
      <c r="AD145" s="164">
        <v>48</v>
      </c>
      <c r="AE145" s="165">
        <v>9</v>
      </c>
      <c r="AF145" s="165">
        <v>9</v>
      </c>
      <c r="AG145" s="165">
        <v>12</v>
      </c>
      <c r="AH145" s="165">
        <v>12</v>
      </c>
      <c r="AI145" s="165">
        <v>18</v>
      </c>
      <c r="AJ145" s="501"/>
      <c r="AK145" s="241">
        <f t="shared" ca="1" si="104"/>
        <v>45.37555555555555</v>
      </c>
      <c r="AL145" s="167">
        <f t="shared" ca="1" si="150"/>
        <v>6.8063333333333329</v>
      </c>
      <c r="AM145" s="167">
        <f t="shared" ca="1" si="151"/>
        <v>6.8063333333333329</v>
      </c>
      <c r="AN145" s="167">
        <f t="shared" ca="1" si="152"/>
        <v>9.0751111111111094</v>
      </c>
      <c r="AO145" s="167">
        <f t="shared" ca="1" si="153"/>
        <v>9.0751111111111094</v>
      </c>
      <c r="AP145" s="167">
        <f t="shared" ca="1" si="154"/>
        <v>13.612666666666666</v>
      </c>
      <c r="AQ145" s="242">
        <f t="shared" ca="1" si="145"/>
        <v>66.905111111111111</v>
      </c>
      <c r="AR145" s="170">
        <f ca="1">INDEX('Cap based on indoor unit SZ'!$J$6:$J$21,MATCH(AE145,'Cap based on indoor unit SZ'!$I$6:$I$21))</f>
        <v>10.463111111111111</v>
      </c>
      <c r="AS145" s="170">
        <f ca="1">INDEX('Cap based on indoor unit SZ'!$J$6:$J$21,MATCH(AF145,'Cap based on indoor unit SZ'!$I$6:$I$21))</f>
        <v>10.463111111111111</v>
      </c>
      <c r="AT145" s="170">
        <f ca="1">INDEX('Cap based on indoor unit SZ'!$J$6:$J$21,MATCH(AG145,'Cap based on indoor unit SZ'!$I$6:$I$21))</f>
        <v>13.078888888888891</v>
      </c>
      <c r="AU145" s="170">
        <f ca="1">INDEX('Cap based on indoor unit SZ'!$J$6:$J$21,MATCH(AH145,'Cap based on indoor unit SZ'!$I$6:$I$21))</f>
        <v>13.078888888888891</v>
      </c>
      <c r="AV145" s="170">
        <f ca="1">INDEX('Cap based on indoor unit SZ'!$J$6:$J$21,MATCH(AI145,'Cap based on indoor unit SZ'!$I$6:$I$21))</f>
        <v>19.821111111111112</v>
      </c>
      <c r="AW145" s="242">
        <f t="shared" si="108"/>
        <v>52</v>
      </c>
      <c r="AX145" s="170">
        <v>8.5</v>
      </c>
      <c r="AY145" s="170">
        <v>8.5</v>
      </c>
      <c r="AZ145" s="170">
        <v>10</v>
      </c>
      <c r="BA145" s="170">
        <v>10</v>
      </c>
      <c r="BB145" s="170">
        <v>15</v>
      </c>
      <c r="BC145" s="243">
        <f t="shared" ca="1" si="146"/>
        <v>45.37555555555555</v>
      </c>
      <c r="BD145" s="173">
        <f t="shared" ca="1" si="155"/>
        <v>6.8063333333333329</v>
      </c>
      <c r="BE145" s="173">
        <f t="shared" ca="1" si="155"/>
        <v>6.8063333333333329</v>
      </c>
      <c r="BF145" s="173">
        <f t="shared" ca="1" si="155"/>
        <v>9.0751111111111094</v>
      </c>
      <c r="BG145" s="173">
        <f t="shared" ca="1" si="155"/>
        <v>9.0751111111111094</v>
      </c>
      <c r="BH145" s="173">
        <f t="shared" ca="1" si="155"/>
        <v>13.612666666666666</v>
      </c>
      <c r="BI145" s="241">
        <f t="shared" ca="1" si="112"/>
        <v>54.037760683760695</v>
      </c>
      <c r="BJ145" s="167">
        <f t="shared" ca="1" si="156"/>
        <v>8.1056641025641039</v>
      </c>
      <c r="BK145" s="167">
        <f t="shared" ca="1" si="157"/>
        <v>8.1056641025641039</v>
      </c>
      <c r="BL145" s="167">
        <f t="shared" ca="1" si="158"/>
        <v>10.807552136752138</v>
      </c>
      <c r="BM145" s="167">
        <f t="shared" ca="1" si="159"/>
        <v>10.807552136752138</v>
      </c>
      <c r="BN145" s="167">
        <f t="shared" ca="1" si="160"/>
        <v>16.211328205128208</v>
      </c>
      <c r="BO145" s="242">
        <f t="shared" ca="1" si="147"/>
        <v>78.400912820512815</v>
      </c>
      <c r="BP145" s="170">
        <f ca="1">INDEX('Cap based on indoor unit SZ'!$V$43:$V$58,MATCH(AE145,'Cap based on indoor unit SZ'!$U$43:$U$58))</f>
        <v>11.956020512820512</v>
      </c>
      <c r="BQ145" s="170">
        <f ca="1">INDEX('Cap based on indoor unit SZ'!$V$43:$V$58,MATCH(AF145,'Cap based on indoor unit SZ'!$U$43:$U$58))</f>
        <v>11.956020512820512</v>
      </c>
      <c r="BR145" s="170">
        <f ca="1">INDEX('Cap based on indoor unit SZ'!$V$43:$V$58,MATCH(AG145,'Cap based on indoor unit SZ'!$U$43:$U$58))</f>
        <v>14.945025641025641</v>
      </c>
      <c r="BS145" s="170">
        <f ca="1">INDEX('Cap based on indoor unit SZ'!$V$43:$V$58,MATCH(AH145,'Cap based on indoor unit SZ'!$U$43:$U$58))</f>
        <v>14.945025641025641</v>
      </c>
      <c r="BT145" s="170">
        <f ca="1">INDEX('Cap based on indoor unit SZ'!$V$43:$V$58,MATCH(AI145,'Cap based on indoor unit SZ'!$U$43:$U$58))</f>
        <v>24.598820512820513</v>
      </c>
      <c r="BU145" s="175">
        <v>8500</v>
      </c>
      <c r="BV145" s="175">
        <v>8500</v>
      </c>
      <c r="BW145" s="175">
        <v>11000</v>
      </c>
      <c r="BX145" s="175">
        <v>11000</v>
      </c>
      <c r="BY145" s="175">
        <v>16000</v>
      </c>
      <c r="BZ145" s="243">
        <f t="shared" ca="1" si="116"/>
        <v>54.037760683760695</v>
      </c>
      <c r="CA145" s="173">
        <f t="shared" ca="1" si="161"/>
        <v>8.1056641025641039</v>
      </c>
      <c r="CB145" s="173">
        <f t="shared" ca="1" si="162"/>
        <v>8.1056641025641039</v>
      </c>
      <c r="CC145" s="173">
        <f t="shared" ca="1" si="163"/>
        <v>10.807552136752138</v>
      </c>
      <c r="CD145" s="173">
        <f t="shared" ca="1" si="164"/>
        <v>10.807552136752138</v>
      </c>
      <c r="CE145" s="173">
        <f t="shared" ca="1" si="165"/>
        <v>16.211328205128208</v>
      </c>
      <c r="CF145" s="241">
        <f t="shared" ca="1" si="148"/>
        <v>34.638560967605656</v>
      </c>
      <c r="CG145" s="167">
        <f t="shared" ca="1" si="149"/>
        <v>5.1957841451408493</v>
      </c>
      <c r="CH145" s="167">
        <f t="shared" ca="1" si="149"/>
        <v>5.1957841451408493</v>
      </c>
      <c r="CI145" s="167">
        <f t="shared" ca="1" si="149"/>
        <v>6.9277121935211312</v>
      </c>
      <c r="CJ145" s="167">
        <f t="shared" ca="1" si="149"/>
        <v>6.9277121935211312</v>
      </c>
      <c r="CK145" s="167">
        <f t="shared" ca="1" si="149"/>
        <v>10.391568290281699</v>
      </c>
    </row>
    <row r="146" spans="2:89">
      <c r="B146" s="283">
        <v>30</v>
      </c>
      <c r="C146" s="287">
        <v>59</v>
      </c>
      <c r="D146" s="288"/>
      <c r="E146" s="8" t="s">
        <v>17</v>
      </c>
      <c r="F146" s="9">
        <v>3.44</v>
      </c>
      <c r="G146" s="2">
        <v>3.51</v>
      </c>
      <c r="H146" s="2">
        <v>3.5</v>
      </c>
      <c r="I146" s="2">
        <v>3.67</v>
      </c>
      <c r="J146" s="2">
        <v>3.68</v>
      </c>
      <c r="K146" s="2">
        <v>3.77</v>
      </c>
      <c r="L146" s="2">
        <v>3.79</v>
      </c>
      <c r="M146" s="2">
        <v>3.85</v>
      </c>
      <c r="N146" s="2">
        <v>3.13</v>
      </c>
      <c r="O146" s="2">
        <v>3.17</v>
      </c>
      <c r="P146" s="2">
        <v>3.32</v>
      </c>
      <c r="Q146" s="2">
        <v>3.42</v>
      </c>
      <c r="R146" s="3"/>
      <c r="AC146" s="164" t="s">
        <v>135</v>
      </c>
      <c r="AD146" s="164">
        <v>48</v>
      </c>
      <c r="AE146" s="165">
        <v>9</v>
      </c>
      <c r="AF146" s="165">
        <v>12</v>
      </c>
      <c r="AG146" s="165">
        <v>12</v>
      </c>
      <c r="AH146" s="165">
        <v>12</v>
      </c>
      <c r="AI146" s="165">
        <v>12</v>
      </c>
      <c r="AJ146" s="501"/>
      <c r="AK146" s="241">
        <f t="shared" ca="1" si="104"/>
        <v>45.37555555555555</v>
      </c>
      <c r="AL146" s="167">
        <f t="shared" ca="1" si="150"/>
        <v>7.1645614035087721</v>
      </c>
      <c r="AM146" s="167">
        <f t="shared" ca="1" si="151"/>
        <v>9.552748538011695</v>
      </c>
      <c r="AN146" s="167">
        <f t="shared" ca="1" si="152"/>
        <v>9.552748538011695</v>
      </c>
      <c r="AO146" s="167">
        <f t="shared" ca="1" si="153"/>
        <v>9.552748538011695</v>
      </c>
      <c r="AP146" s="167">
        <f t="shared" ca="1" si="154"/>
        <v>9.552748538011695</v>
      </c>
      <c r="AQ146" s="242">
        <f t="shared" ca="1" si="145"/>
        <v>62.778666666666673</v>
      </c>
      <c r="AR146" s="170">
        <f ca="1">INDEX('Cap based on indoor unit SZ'!$J$6:$J$21,MATCH(AE146,'Cap based on indoor unit SZ'!$I$6:$I$21))</f>
        <v>10.463111111111111</v>
      </c>
      <c r="AS146" s="170">
        <f ca="1">INDEX('Cap based on indoor unit SZ'!$J$6:$J$21,MATCH(AF146,'Cap based on indoor unit SZ'!$I$6:$I$21))</f>
        <v>13.078888888888891</v>
      </c>
      <c r="AT146" s="170">
        <f ca="1">INDEX('Cap based on indoor unit SZ'!$J$6:$J$21,MATCH(AG146,'Cap based on indoor unit SZ'!$I$6:$I$21))</f>
        <v>13.078888888888891</v>
      </c>
      <c r="AU146" s="170">
        <f ca="1">INDEX('Cap based on indoor unit SZ'!$J$6:$J$21,MATCH(AH146,'Cap based on indoor unit SZ'!$I$6:$I$21))</f>
        <v>13.078888888888891</v>
      </c>
      <c r="AV146" s="170">
        <f ca="1">INDEX('Cap based on indoor unit SZ'!$J$6:$J$21,MATCH(AI146,'Cap based on indoor unit SZ'!$I$6:$I$21))</f>
        <v>13.078888888888891</v>
      </c>
      <c r="AW146" s="242">
        <f t="shared" si="108"/>
        <v>50</v>
      </c>
      <c r="AX146" s="170">
        <v>8</v>
      </c>
      <c r="AY146" s="170">
        <v>10.5</v>
      </c>
      <c r="AZ146" s="170">
        <v>10.5</v>
      </c>
      <c r="BA146" s="170">
        <v>10.5</v>
      </c>
      <c r="BB146" s="170">
        <v>10.5</v>
      </c>
      <c r="BC146" s="243">
        <f t="shared" ca="1" si="146"/>
        <v>45.37555555555555</v>
      </c>
      <c r="BD146" s="173">
        <f t="shared" ca="1" si="155"/>
        <v>7.1645614035087721</v>
      </c>
      <c r="BE146" s="173">
        <f t="shared" ca="1" si="155"/>
        <v>9.552748538011695</v>
      </c>
      <c r="BF146" s="173">
        <f t="shared" ca="1" si="155"/>
        <v>9.552748538011695</v>
      </c>
      <c r="BG146" s="173">
        <f t="shared" ca="1" si="155"/>
        <v>9.552748538011695</v>
      </c>
      <c r="BH146" s="173">
        <f t="shared" ca="1" si="155"/>
        <v>9.552748538011695</v>
      </c>
      <c r="BI146" s="241">
        <f t="shared" ca="1" si="112"/>
        <v>54.037760683760695</v>
      </c>
      <c r="BJ146" s="167">
        <f t="shared" ca="1" si="156"/>
        <v>8.5322780026990568</v>
      </c>
      <c r="BK146" s="167">
        <f t="shared" ca="1" si="157"/>
        <v>11.376370670265409</v>
      </c>
      <c r="BL146" s="167">
        <f t="shared" ca="1" si="158"/>
        <v>11.376370670265409</v>
      </c>
      <c r="BM146" s="167">
        <f t="shared" ca="1" si="159"/>
        <v>11.376370670265409</v>
      </c>
      <c r="BN146" s="167">
        <f t="shared" ca="1" si="160"/>
        <v>11.376370670265409</v>
      </c>
      <c r="BO146" s="242">
        <f t="shared" ca="1" si="147"/>
        <v>71.736123076923064</v>
      </c>
      <c r="BP146" s="170">
        <f ca="1">INDEX('Cap based on indoor unit SZ'!$V$43:$V$58,MATCH(AE146,'Cap based on indoor unit SZ'!$U$43:$U$58))</f>
        <v>11.956020512820512</v>
      </c>
      <c r="BQ146" s="170">
        <f ca="1">INDEX('Cap based on indoor unit SZ'!$V$43:$V$58,MATCH(AF146,'Cap based on indoor unit SZ'!$U$43:$U$58))</f>
        <v>14.945025641025641</v>
      </c>
      <c r="BR146" s="170">
        <f ca="1">INDEX('Cap based on indoor unit SZ'!$V$43:$V$58,MATCH(AG146,'Cap based on indoor unit SZ'!$U$43:$U$58))</f>
        <v>14.945025641025641</v>
      </c>
      <c r="BS146" s="170">
        <f ca="1">INDEX('Cap based on indoor unit SZ'!$V$43:$V$58,MATCH(AH146,'Cap based on indoor unit SZ'!$U$43:$U$58))</f>
        <v>14.945025641025641</v>
      </c>
      <c r="BT146" s="170">
        <f ca="1">INDEX('Cap based on indoor unit SZ'!$V$43:$V$58,MATCH(AI146,'Cap based on indoor unit SZ'!$U$43:$U$58))</f>
        <v>14.945025641025641</v>
      </c>
      <c r="BU146" s="175">
        <v>8500</v>
      </c>
      <c r="BV146" s="175">
        <v>11000</v>
      </c>
      <c r="BW146" s="175">
        <v>11000</v>
      </c>
      <c r="BX146" s="175">
        <v>11000</v>
      </c>
      <c r="BY146" s="175">
        <v>11000</v>
      </c>
      <c r="BZ146" s="243">
        <f t="shared" ca="1" si="116"/>
        <v>54.037760683760695</v>
      </c>
      <c r="CA146" s="173">
        <f t="shared" ca="1" si="161"/>
        <v>8.5322780026990568</v>
      </c>
      <c r="CB146" s="173">
        <f t="shared" ca="1" si="162"/>
        <v>11.376370670265409</v>
      </c>
      <c r="CC146" s="173">
        <f t="shared" ca="1" si="163"/>
        <v>11.376370670265409</v>
      </c>
      <c r="CD146" s="173">
        <f t="shared" ca="1" si="164"/>
        <v>11.376370670265409</v>
      </c>
      <c r="CE146" s="173">
        <f t="shared" ca="1" si="165"/>
        <v>11.376370670265409</v>
      </c>
      <c r="CF146" s="241">
        <f t="shared" ca="1" si="148"/>
        <v>34.638560967605663</v>
      </c>
      <c r="CG146" s="167">
        <f t="shared" ca="1" si="149"/>
        <v>5.4692464685693158</v>
      </c>
      <c r="CH146" s="167">
        <f t="shared" ca="1" si="149"/>
        <v>7.2923286247590866</v>
      </c>
      <c r="CI146" s="167">
        <f t="shared" ca="1" si="149"/>
        <v>7.2923286247590866</v>
      </c>
      <c r="CJ146" s="167">
        <f t="shared" ca="1" si="149"/>
        <v>7.2923286247590866</v>
      </c>
      <c r="CK146" s="167">
        <f t="shared" ca="1" si="149"/>
        <v>7.2923286247590866</v>
      </c>
    </row>
    <row r="147" spans="2:89">
      <c r="B147" s="283">
        <v>30</v>
      </c>
      <c r="C147" s="289">
        <v>64.400000000000006</v>
      </c>
      <c r="D147" s="290"/>
      <c r="E147" s="8" t="s">
        <v>17</v>
      </c>
      <c r="F147" s="9">
        <v>3.47</v>
      </c>
      <c r="G147" s="2">
        <v>3.54</v>
      </c>
      <c r="H147" s="2">
        <v>3.58</v>
      </c>
      <c r="I147" s="2">
        <v>3.81</v>
      </c>
      <c r="J147" s="2">
        <v>3.82</v>
      </c>
      <c r="K147" s="2">
        <v>3.9</v>
      </c>
      <c r="L147" s="2">
        <v>3.92</v>
      </c>
      <c r="M147" s="2">
        <v>3.98</v>
      </c>
      <c r="N147" s="2">
        <v>3.16</v>
      </c>
      <c r="O147" s="2">
        <v>3.2</v>
      </c>
      <c r="P147" s="2">
        <v>3.35</v>
      </c>
      <c r="Q147" s="2">
        <v>3.45</v>
      </c>
      <c r="R147" s="15"/>
      <c r="AC147" s="164" t="s">
        <v>134</v>
      </c>
      <c r="AD147" s="164">
        <v>48</v>
      </c>
      <c r="AE147" s="165">
        <v>9</v>
      </c>
      <c r="AF147" s="165">
        <v>12</v>
      </c>
      <c r="AG147" s="165">
        <v>12</v>
      </c>
      <c r="AH147" s="165">
        <v>12</v>
      </c>
      <c r="AI147" s="165">
        <v>18</v>
      </c>
      <c r="AJ147" s="501"/>
      <c r="AK147" s="241">
        <f t="shared" ca="1" si="104"/>
        <v>45.375555555555557</v>
      </c>
      <c r="AL147" s="167">
        <f t="shared" ca="1" si="150"/>
        <v>6.4822222222222221</v>
      </c>
      <c r="AM147" s="167">
        <f t="shared" ca="1" si="151"/>
        <v>8.6429629629629616</v>
      </c>
      <c r="AN147" s="167">
        <f t="shared" ca="1" si="152"/>
        <v>8.6429629629629616</v>
      </c>
      <c r="AO147" s="167">
        <f t="shared" ca="1" si="153"/>
        <v>8.6429629629629616</v>
      </c>
      <c r="AP147" s="167">
        <f t="shared" ca="1" si="154"/>
        <v>12.964444444444444</v>
      </c>
      <c r="AQ147" s="242">
        <f t="shared" ca="1" si="145"/>
        <v>69.520888888888891</v>
      </c>
      <c r="AR147" s="170">
        <f ca="1">INDEX('Cap based on indoor unit SZ'!$J$6:$J$21,MATCH(AE147,'Cap based on indoor unit SZ'!$I$6:$I$21))</f>
        <v>10.463111111111111</v>
      </c>
      <c r="AS147" s="170">
        <f ca="1">INDEX('Cap based on indoor unit SZ'!$J$6:$J$21,MATCH(AF147,'Cap based on indoor unit SZ'!$I$6:$I$21))</f>
        <v>13.078888888888891</v>
      </c>
      <c r="AT147" s="170">
        <f ca="1">INDEX('Cap based on indoor unit SZ'!$J$6:$J$21,MATCH(AG147,'Cap based on indoor unit SZ'!$I$6:$I$21))</f>
        <v>13.078888888888891</v>
      </c>
      <c r="AU147" s="170">
        <f ca="1">INDEX('Cap based on indoor unit SZ'!$J$6:$J$21,MATCH(AH147,'Cap based on indoor unit SZ'!$I$6:$I$21))</f>
        <v>13.078888888888891</v>
      </c>
      <c r="AV147" s="170">
        <f ca="1">INDEX('Cap based on indoor unit SZ'!$J$6:$J$21,MATCH(AI147,'Cap based on indoor unit SZ'!$I$6:$I$21))</f>
        <v>19.821111111111112</v>
      </c>
      <c r="AW147" s="242">
        <f t="shared" si="108"/>
        <v>52.5</v>
      </c>
      <c r="AX147" s="170">
        <v>7.5</v>
      </c>
      <c r="AY147" s="170">
        <v>10</v>
      </c>
      <c r="AZ147" s="170">
        <v>10</v>
      </c>
      <c r="BA147" s="170">
        <v>10</v>
      </c>
      <c r="BB147" s="170">
        <v>15</v>
      </c>
      <c r="BC147" s="243">
        <f t="shared" ca="1" si="146"/>
        <v>45.375555555555557</v>
      </c>
      <c r="BD147" s="173">
        <f t="shared" ca="1" si="155"/>
        <v>6.4822222222222221</v>
      </c>
      <c r="BE147" s="173">
        <f t="shared" ca="1" si="155"/>
        <v>8.6429629629629616</v>
      </c>
      <c r="BF147" s="173">
        <f t="shared" ca="1" si="155"/>
        <v>8.6429629629629616</v>
      </c>
      <c r="BG147" s="173">
        <f t="shared" ca="1" si="155"/>
        <v>8.6429629629629616</v>
      </c>
      <c r="BH147" s="173">
        <f t="shared" ca="1" si="155"/>
        <v>12.964444444444444</v>
      </c>
      <c r="BI147" s="241">
        <f t="shared" ca="1" si="112"/>
        <v>54.037760683760695</v>
      </c>
      <c r="BJ147" s="167">
        <f t="shared" ca="1" si="156"/>
        <v>7.719680097680099</v>
      </c>
      <c r="BK147" s="167">
        <f t="shared" ca="1" si="157"/>
        <v>10.292906796906799</v>
      </c>
      <c r="BL147" s="167">
        <f t="shared" ca="1" si="158"/>
        <v>10.292906796906799</v>
      </c>
      <c r="BM147" s="167">
        <f t="shared" ca="1" si="159"/>
        <v>10.292906796906799</v>
      </c>
      <c r="BN147" s="167">
        <f t="shared" ca="1" si="160"/>
        <v>15.439360195360198</v>
      </c>
      <c r="BO147" s="242">
        <f t="shared" ca="1" si="147"/>
        <v>81.389917948717937</v>
      </c>
      <c r="BP147" s="170">
        <f ca="1">INDEX('Cap based on indoor unit SZ'!$V$43:$V$58,MATCH(AE147,'Cap based on indoor unit SZ'!$U$43:$U$58))</f>
        <v>11.956020512820512</v>
      </c>
      <c r="BQ147" s="170">
        <f ca="1">INDEX('Cap based on indoor unit SZ'!$V$43:$V$58,MATCH(AF147,'Cap based on indoor unit SZ'!$U$43:$U$58))</f>
        <v>14.945025641025641</v>
      </c>
      <c r="BR147" s="170">
        <f ca="1">INDEX('Cap based on indoor unit SZ'!$V$43:$V$58,MATCH(AG147,'Cap based on indoor unit SZ'!$U$43:$U$58))</f>
        <v>14.945025641025641</v>
      </c>
      <c r="BS147" s="170">
        <f ca="1">INDEX('Cap based on indoor unit SZ'!$V$43:$V$58,MATCH(AH147,'Cap based on indoor unit SZ'!$U$43:$U$58))</f>
        <v>14.945025641025641</v>
      </c>
      <c r="BT147" s="170">
        <f ca="1">INDEX('Cap based on indoor unit SZ'!$V$43:$V$58,MATCH(AI147,'Cap based on indoor unit SZ'!$U$43:$U$58))</f>
        <v>24.598820512820513</v>
      </c>
      <c r="BU147" s="175">
        <v>8000</v>
      </c>
      <c r="BV147" s="175">
        <v>10500</v>
      </c>
      <c r="BW147" s="175">
        <v>10500</v>
      </c>
      <c r="BX147" s="175">
        <v>10500</v>
      </c>
      <c r="BY147" s="175">
        <v>15500</v>
      </c>
      <c r="BZ147" s="243">
        <f t="shared" ca="1" si="116"/>
        <v>54.037760683760695</v>
      </c>
      <c r="CA147" s="173">
        <f t="shared" ca="1" si="161"/>
        <v>7.719680097680099</v>
      </c>
      <c r="CB147" s="173">
        <f t="shared" ca="1" si="162"/>
        <v>10.292906796906799</v>
      </c>
      <c r="CC147" s="173">
        <f t="shared" ca="1" si="163"/>
        <v>10.292906796906799</v>
      </c>
      <c r="CD147" s="173">
        <f t="shared" ca="1" si="164"/>
        <v>10.292906796906799</v>
      </c>
      <c r="CE147" s="173">
        <f t="shared" ca="1" si="165"/>
        <v>15.439360195360198</v>
      </c>
      <c r="CF147" s="241">
        <f t="shared" ca="1" si="148"/>
        <v>34.638560967605663</v>
      </c>
      <c r="CG147" s="167">
        <f t="shared" ca="1" si="149"/>
        <v>4.9483658525150949</v>
      </c>
      <c r="CH147" s="167">
        <f t="shared" ca="1" si="149"/>
        <v>6.5978211366867923</v>
      </c>
      <c r="CI147" s="167">
        <f t="shared" ca="1" si="149"/>
        <v>6.5978211366867923</v>
      </c>
      <c r="CJ147" s="167">
        <f t="shared" ca="1" si="149"/>
        <v>6.5978211366867923</v>
      </c>
      <c r="CK147" s="167">
        <f t="shared" ca="1" si="149"/>
        <v>9.8967317050301897</v>
      </c>
    </row>
    <row r="148" spans="2:89">
      <c r="B148" s="283">
        <v>30</v>
      </c>
      <c r="C148" s="285">
        <v>69</v>
      </c>
      <c r="D148" s="286"/>
      <c r="E148" s="8" t="s">
        <v>17</v>
      </c>
      <c r="F148" s="9">
        <v>3.56</v>
      </c>
      <c r="G148" s="2">
        <v>3.63</v>
      </c>
      <c r="H148" s="2">
        <v>3.69</v>
      </c>
      <c r="I148" s="2">
        <v>3.82</v>
      </c>
      <c r="J148" s="2">
        <v>3.84</v>
      </c>
      <c r="K148" s="2">
        <v>3.91</v>
      </c>
      <c r="L148" s="2">
        <v>3.96</v>
      </c>
      <c r="M148" s="2">
        <v>4.0999999999999996</v>
      </c>
      <c r="N148" s="2">
        <v>3.19</v>
      </c>
      <c r="O148" s="2">
        <v>3.23</v>
      </c>
      <c r="P148" s="2">
        <v>3.26</v>
      </c>
      <c r="Q148" s="2">
        <v>3.35</v>
      </c>
      <c r="R148" s="3"/>
      <c r="AC148" s="164" t="s">
        <v>133</v>
      </c>
      <c r="AD148" s="164">
        <v>48</v>
      </c>
      <c r="AE148" s="165">
        <v>12</v>
      </c>
      <c r="AF148" s="165">
        <v>12</v>
      </c>
      <c r="AG148" s="165">
        <v>12</v>
      </c>
      <c r="AH148" s="165">
        <v>12</v>
      </c>
      <c r="AI148" s="165">
        <v>12</v>
      </c>
      <c r="AJ148" s="501"/>
      <c r="AK148" s="241">
        <f t="shared" ca="1" si="104"/>
        <v>45.37555555555555</v>
      </c>
      <c r="AL148" s="167">
        <f t="shared" ca="1" si="150"/>
        <v>9.0751111111111094</v>
      </c>
      <c r="AM148" s="167">
        <f t="shared" ca="1" si="151"/>
        <v>9.0751111111111094</v>
      </c>
      <c r="AN148" s="167">
        <f t="shared" ca="1" si="152"/>
        <v>9.0751111111111094</v>
      </c>
      <c r="AO148" s="167">
        <f t="shared" ca="1" si="153"/>
        <v>9.0751111111111094</v>
      </c>
      <c r="AP148" s="167">
        <f t="shared" ca="1" si="154"/>
        <v>9.0751111111111094</v>
      </c>
      <c r="AQ148" s="242">
        <f t="shared" ca="1" si="145"/>
        <v>65.394444444444446</v>
      </c>
      <c r="AR148" s="170">
        <f ca="1">INDEX('Cap based on indoor unit SZ'!$J$6:$J$21,MATCH(AE148,'Cap based on indoor unit SZ'!$I$6:$I$21))</f>
        <v>13.078888888888891</v>
      </c>
      <c r="AS148" s="170">
        <f ca="1">INDEX('Cap based on indoor unit SZ'!$J$6:$J$21,MATCH(AF148,'Cap based on indoor unit SZ'!$I$6:$I$21))</f>
        <v>13.078888888888891</v>
      </c>
      <c r="AT148" s="170">
        <f ca="1">INDEX('Cap based on indoor unit SZ'!$J$6:$J$21,MATCH(AG148,'Cap based on indoor unit SZ'!$I$6:$I$21))</f>
        <v>13.078888888888891</v>
      </c>
      <c r="AU148" s="170">
        <f ca="1">INDEX('Cap based on indoor unit SZ'!$J$6:$J$21,MATCH(AH148,'Cap based on indoor unit SZ'!$I$6:$I$21))</f>
        <v>13.078888888888891</v>
      </c>
      <c r="AV148" s="170">
        <f ca="1">INDEX('Cap based on indoor unit SZ'!$J$6:$J$21,MATCH(AI148,'Cap based on indoor unit SZ'!$I$6:$I$21))</f>
        <v>13.078888888888891</v>
      </c>
      <c r="AW148" s="242">
        <f t="shared" si="108"/>
        <v>52.5</v>
      </c>
      <c r="AX148" s="170">
        <v>10.5</v>
      </c>
      <c r="AY148" s="170">
        <v>10.5</v>
      </c>
      <c r="AZ148" s="170">
        <v>10.5</v>
      </c>
      <c r="BA148" s="170">
        <v>10.5</v>
      </c>
      <c r="BB148" s="170">
        <v>10.5</v>
      </c>
      <c r="BC148" s="243">
        <f t="shared" ca="1" si="146"/>
        <v>45.37555555555555</v>
      </c>
      <c r="BD148" s="173">
        <f t="shared" ca="1" si="155"/>
        <v>9.0751111111111094</v>
      </c>
      <c r="BE148" s="173">
        <f t="shared" ca="1" si="155"/>
        <v>9.0751111111111094</v>
      </c>
      <c r="BF148" s="173">
        <f t="shared" ca="1" si="155"/>
        <v>9.0751111111111094</v>
      </c>
      <c r="BG148" s="173">
        <f t="shared" ca="1" si="155"/>
        <v>9.0751111111111094</v>
      </c>
      <c r="BH148" s="173">
        <f t="shared" ca="1" si="155"/>
        <v>9.0751111111111094</v>
      </c>
      <c r="BI148" s="241">
        <f t="shared" ca="1" si="112"/>
        <v>54.037760683760688</v>
      </c>
      <c r="BJ148" s="167">
        <f t="shared" ca="1" si="156"/>
        <v>10.807552136752138</v>
      </c>
      <c r="BK148" s="167">
        <f t="shared" ca="1" si="157"/>
        <v>10.807552136752138</v>
      </c>
      <c r="BL148" s="167">
        <f t="shared" ca="1" si="158"/>
        <v>10.807552136752138</v>
      </c>
      <c r="BM148" s="167">
        <f t="shared" ca="1" si="159"/>
        <v>10.807552136752138</v>
      </c>
      <c r="BN148" s="167">
        <f t="shared" ca="1" si="160"/>
        <v>10.807552136752138</v>
      </c>
      <c r="BO148" s="242">
        <f t="shared" ca="1" si="147"/>
        <v>74.7251282051282</v>
      </c>
      <c r="BP148" s="170">
        <f ca="1">INDEX('Cap based on indoor unit SZ'!$V$43:$V$58,MATCH(AE148,'Cap based on indoor unit SZ'!$U$43:$U$58))</f>
        <v>14.945025641025641</v>
      </c>
      <c r="BQ148" s="170">
        <f ca="1">INDEX('Cap based on indoor unit SZ'!$V$43:$V$58,MATCH(AF148,'Cap based on indoor unit SZ'!$U$43:$U$58))</f>
        <v>14.945025641025641</v>
      </c>
      <c r="BR148" s="170">
        <f ca="1">INDEX('Cap based on indoor unit SZ'!$V$43:$V$58,MATCH(AG148,'Cap based on indoor unit SZ'!$U$43:$U$58))</f>
        <v>14.945025641025641</v>
      </c>
      <c r="BS148" s="170">
        <f ca="1">INDEX('Cap based on indoor unit SZ'!$V$43:$V$58,MATCH(AH148,'Cap based on indoor unit SZ'!$U$43:$U$58))</f>
        <v>14.945025641025641</v>
      </c>
      <c r="BT148" s="170">
        <f ca="1">INDEX('Cap based on indoor unit SZ'!$V$43:$V$58,MATCH(AI148,'Cap based on indoor unit SZ'!$U$43:$U$58))</f>
        <v>14.945025641025641</v>
      </c>
      <c r="BU148" s="175">
        <v>11000</v>
      </c>
      <c r="BV148" s="175">
        <v>11000</v>
      </c>
      <c r="BW148" s="175">
        <v>11000</v>
      </c>
      <c r="BX148" s="175">
        <v>11000</v>
      </c>
      <c r="BY148" s="175">
        <v>11000</v>
      </c>
      <c r="BZ148" s="243">
        <f t="shared" ca="1" si="116"/>
        <v>54.037760683760688</v>
      </c>
      <c r="CA148" s="173">
        <f t="shared" ca="1" si="161"/>
        <v>10.807552136752138</v>
      </c>
      <c r="CB148" s="173">
        <f t="shared" ca="1" si="162"/>
        <v>10.807552136752138</v>
      </c>
      <c r="CC148" s="173">
        <f t="shared" ca="1" si="163"/>
        <v>10.807552136752138</v>
      </c>
      <c r="CD148" s="173">
        <f t="shared" ca="1" si="164"/>
        <v>10.807552136752138</v>
      </c>
      <c r="CE148" s="173">
        <f t="shared" ca="1" si="165"/>
        <v>10.807552136752138</v>
      </c>
      <c r="CF148" s="241">
        <f t="shared" ca="1" si="148"/>
        <v>34.638560967605656</v>
      </c>
      <c r="CG148" s="167">
        <f t="shared" ca="1" si="149"/>
        <v>6.9277121935211312</v>
      </c>
      <c r="CH148" s="167">
        <f t="shared" ca="1" si="149"/>
        <v>6.9277121935211312</v>
      </c>
      <c r="CI148" s="167">
        <f t="shared" ca="1" si="149"/>
        <v>6.9277121935211312</v>
      </c>
      <c r="CJ148" s="167">
        <f t="shared" ca="1" si="149"/>
        <v>6.9277121935211312</v>
      </c>
      <c r="CK148" s="167">
        <f t="shared" ca="1" si="149"/>
        <v>6.9277121935211312</v>
      </c>
    </row>
    <row r="149" spans="2:89">
      <c r="B149" s="283">
        <v>30</v>
      </c>
      <c r="C149" s="287">
        <v>71.599999999999994</v>
      </c>
      <c r="D149" s="288"/>
      <c r="E149" s="8" t="s">
        <v>17</v>
      </c>
      <c r="F149" s="9">
        <v>3.69</v>
      </c>
      <c r="G149" s="2">
        <v>3.66</v>
      </c>
      <c r="H149" s="2">
        <v>3.83</v>
      </c>
      <c r="I149" s="2">
        <v>3.85</v>
      </c>
      <c r="J149" s="2">
        <v>3.87</v>
      </c>
      <c r="K149" s="2">
        <v>3.94</v>
      </c>
      <c r="L149" s="2">
        <v>3.99</v>
      </c>
      <c r="M149" s="2">
        <v>4.13</v>
      </c>
      <c r="N149" s="2">
        <v>3.22</v>
      </c>
      <c r="O149" s="2">
        <v>3.26</v>
      </c>
      <c r="P149" s="2">
        <v>3.29</v>
      </c>
      <c r="Q149" s="2">
        <v>3.38</v>
      </c>
      <c r="R149" s="3"/>
    </row>
    <row r="150" spans="2:89">
      <c r="B150" s="283">
        <v>36</v>
      </c>
      <c r="C150" s="289">
        <v>59</v>
      </c>
      <c r="D150" s="290"/>
      <c r="E150" s="8" t="s">
        <v>17</v>
      </c>
      <c r="F150" s="16">
        <v>4.9800000000000004</v>
      </c>
      <c r="G150" s="2">
        <v>5.0999999999999996</v>
      </c>
      <c r="H150" s="2">
        <v>5.25</v>
      </c>
      <c r="I150" s="2">
        <v>5.28</v>
      </c>
      <c r="J150" s="2">
        <v>5.31</v>
      </c>
      <c r="K150" s="2">
        <v>5.19</v>
      </c>
      <c r="L150" s="2">
        <v>5.21</v>
      </c>
      <c r="M150" s="2">
        <v>5.29</v>
      </c>
      <c r="N150" s="2">
        <v>4.63</v>
      </c>
      <c r="O150" s="2">
        <v>4.8</v>
      </c>
      <c r="P150" s="2">
        <v>4.97</v>
      </c>
      <c r="Q150" s="2">
        <v>4.63</v>
      </c>
      <c r="R150" s="15"/>
    </row>
    <row r="151" spans="2:89">
      <c r="B151" s="283">
        <v>36</v>
      </c>
      <c r="C151" s="285">
        <v>64.400000000000006</v>
      </c>
      <c r="D151" s="286"/>
      <c r="E151" s="8" t="s">
        <v>17</v>
      </c>
      <c r="F151" s="16">
        <v>5.04</v>
      </c>
      <c r="G151" s="2">
        <v>5.16</v>
      </c>
      <c r="H151" s="2">
        <v>5.31</v>
      </c>
      <c r="I151" s="2">
        <v>5.34</v>
      </c>
      <c r="J151" s="2">
        <v>5.37</v>
      </c>
      <c r="K151" s="2">
        <v>5.25</v>
      </c>
      <c r="L151" s="2">
        <v>5.27</v>
      </c>
      <c r="M151" s="2">
        <v>5.35</v>
      </c>
      <c r="N151" s="2">
        <v>4.6900000000000004</v>
      </c>
      <c r="O151" s="2">
        <v>4.8600000000000003</v>
      </c>
      <c r="P151" s="2">
        <v>5.03</v>
      </c>
      <c r="Q151" s="2">
        <v>4.6900000000000004</v>
      </c>
      <c r="R151" s="3"/>
    </row>
    <row r="152" spans="2:89">
      <c r="B152" s="283">
        <v>36</v>
      </c>
      <c r="C152" s="287">
        <v>69</v>
      </c>
      <c r="D152" s="288"/>
      <c r="E152" s="8" t="s">
        <v>17</v>
      </c>
      <c r="F152" s="16">
        <v>5.12</v>
      </c>
      <c r="G152" s="2">
        <v>5.23</v>
      </c>
      <c r="H152" s="2">
        <v>5.32</v>
      </c>
      <c r="I152" s="2">
        <v>5.35</v>
      </c>
      <c r="J152" s="2">
        <v>5.37</v>
      </c>
      <c r="K152" s="2">
        <v>5.33</v>
      </c>
      <c r="L152" s="2">
        <v>5.35</v>
      </c>
      <c r="M152" s="2">
        <v>5.43</v>
      </c>
      <c r="N152" s="2">
        <v>4.6900000000000004</v>
      </c>
      <c r="O152" s="2">
        <v>5.03</v>
      </c>
      <c r="P152" s="2">
        <v>4.7300000000000004</v>
      </c>
      <c r="Q152" s="2">
        <v>4.3600000000000003</v>
      </c>
      <c r="R152" s="3"/>
    </row>
    <row r="153" spans="2:89">
      <c r="B153" s="283">
        <v>36</v>
      </c>
      <c r="C153" s="289">
        <v>71.599999999999994</v>
      </c>
      <c r="D153" s="290"/>
      <c r="E153" s="8" t="s">
        <v>17</v>
      </c>
      <c r="F153" s="16">
        <v>5.17</v>
      </c>
      <c r="G153" s="2">
        <v>5.28</v>
      </c>
      <c r="H153" s="2">
        <v>5.37</v>
      </c>
      <c r="I153" s="2">
        <v>5.4</v>
      </c>
      <c r="J153" s="2">
        <v>5.42</v>
      </c>
      <c r="K153" s="2">
        <v>5.38</v>
      </c>
      <c r="L153" s="2">
        <v>5.4</v>
      </c>
      <c r="M153" s="2">
        <v>5.48</v>
      </c>
      <c r="N153" s="2">
        <v>4.74</v>
      </c>
      <c r="O153" s="2">
        <v>5.09</v>
      </c>
      <c r="P153" s="2">
        <v>4.78</v>
      </c>
      <c r="Q153" s="2">
        <v>4.42</v>
      </c>
      <c r="R153" s="15"/>
    </row>
    <row r="154" spans="2:89">
      <c r="B154" s="284">
        <v>48</v>
      </c>
      <c r="C154" s="285">
        <v>59</v>
      </c>
      <c r="D154" s="286"/>
      <c r="E154" s="8" t="s">
        <v>17</v>
      </c>
      <c r="F154" s="16">
        <v>5.03</v>
      </c>
      <c r="G154" s="2">
        <v>5.15</v>
      </c>
      <c r="H154" s="2">
        <v>5.3</v>
      </c>
      <c r="I154" s="2">
        <v>5.33</v>
      </c>
      <c r="J154" s="2">
        <v>5.36</v>
      </c>
      <c r="K154" s="2">
        <v>5.24</v>
      </c>
      <c r="L154" s="2">
        <v>5.26</v>
      </c>
      <c r="M154" s="2">
        <v>5.34</v>
      </c>
      <c r="N154" s="2">
        <v>4.67</v>
      </c>
      <c r="O154" s="2">
        <v>4.8499999999999996</v>
      </c>
      <c r="P154" s="2">
        <v>5.0199999999999996</v>
      </c>
      <c r="Q154" s="2">
        <v>4.67</v>
      </c>
      <c r="R154" s="3"/>
    </row>
    <row r="155" spans="2:89">
      <c r="B155" s="284">
        <v>48</v>
      </c>
      <c r="C155" s="287">
        <v>64.400000000000006</v>
      </c>
      <c r="D155" s="288"/>
      <c r="E155" s="8" t="s">
        <v>17</v>
      </c>
      <c r="F155" s="16">
        <v>5.15</v>
      </c>
      <c r="G155" s="2">
        <v>5.26</v>
      </c>
      <c r="H155" s="2">
        <v>5.41</v>
      </c>
      <c r="I155" s="2">
        <v>5.45</v>
      </c>
      <c r="J155" s="2">
        <v>5.48</v>
      </c>
      <c r="K155" s="2">
        <v>5.35</v>
      </c>
      <c r="L155" s="2">
        <v>5.37</v>
      </c>
      <c r="M155" s="2">
        <v>5.46</v>
      </c>
      <c r="N155" s="2">
        <v>4.78</v>
      </c>
      <c r="O155" s="2">
        <v>4.96</v>
      </c>
      <c r="P155" s="2">
        <v>5.14</v>
      </c>
      <c r="Q155" s="2">
        <v>4.78</v>
      </c>
      <c r="R155" s="3"/>
    </row>
    <row r="156" spans="2:89">
      <c r="B156" s="284">
        <v>48</v>
      </c>
      <c r="C156" s="289">
        <v>69</v>
      </c>
      <c r="D156" s="290"/>
      <c r="E156" s="8" t="s">
        <v>17</v>
      </c>
      <c r="F156" s="16">
        <v>5.18</v>
      </c>
      <c r="G156" s="2">
        <v>5.29</v>
      </c>
      <c r="H156" s="2">
        <v>5.38</v>
      </c>
      <c r="I156" s="2">
        <v>5.41</v>
      </c>
      <c r="J156" s="2">
        <v>5.5</v>
      </c>
      <c r="K156" s="2">
        <v>5.39</v>
      </c>
      <c r="L156" s="2">
        <v>5.41</v>
      </c>
      <c r="M156" s="2">
        <v>5.5</v>
      </c>
      <c r="N156" s="2">
        <v>4.75</v>
      </c>
      <c r="O156" s="2">
        <v>4.7</v>
      </c>
      <c r="P156" s="2">
        <v>4.78</v>
      </c>
      <c r="Q156" s="2">
        <v>5.12</v>
      </c>
      <c r="R156" s="15"/>
    </row>
    <row r="157" spans="2:89">
      <c r="B157" s="284">
        <v>48</v>
      </c>
      <c r="C157" s="285">
        <v>71.599999999999994</v>
      </c>
      <c r="D157" s="286"/>
      <c r="E157" s="8" t="s">
        <v>17</v>
      </c>
      <c r="F157" s="16">
        <v>5.23</v>
      </c>
      <c r="G157" s="2">
        <v>5.34</v>
      </c>
      <c r="H157" s="2">
        <v>5.43</v>
      </c>
      <c r="I157" s="2">
        <v>5.46</v>
      </c>
      <c r="J157" s="2">
        <v>5.52</v>
      </c>
      <c r="K157" s="2">
        <v>5.44</v>
      </c>
      <c r="L157" s="2">
        <v>5.46</v>
      </c>
      <c r="M157" s="2">
        <v>5.55</v>
      </c>
      <c r="N157" s="2">
        <v>4.8</v>
      </c>
      <c r="O157" s="2">
        <v>5.15</v>
      </c>
      <c r="P157" s="2">
        <v>4.83</v>
      </c>
      <c r="Q157" s="2">
        <v>5.17</v>
      </c>
      <c r="R157" s="3"/>
    </row>
    <row r="158" spans="2:89">
      <c r="B158" s="284">
        <v>18</v>
      </c>
      <c r="C158" s="287">
        <v>59</v>
      </c>
      <c r="D158" s="288"/>
      <c r="E158" s="8" t="s">
        <v>26</v>
      </c>
      <c r="F158" s="9">
        <v>1.29</v>
      </c>
      <c r="G158" s="14">
        <v>1.57</v>
      </c>
      <c r="H158" s="14">
        <v>1.81</v>
      </c>
      <c r="I158" s="14">
        <v>2.0099999999999998</v>
      </c>
      <c r="J158" s="14">
        <v>2.1800000000000002</v>
      </c>
      <c r="K158" s="14">
        <v>2.65</v>
      </c>
      <c r="L158" s="14">
        <v>2.67</v>
      </c>
      <c r="M158" s="14">
        <v>2.68</v>
      </c>
      <c r="N158" s="14">
        <v>3.26</v>
      </c>
      <c r="O158" s="14">
        <v>3.28</v>
      </c>
      <c r="P158" s="14">
        <v>3.44</v>
      </c>
      <c r="Q158" s="14">
        <v>3.96</v>
      </c>
      <c r="R158" s="3"/>
    </row>
    <row r="159" spans="2:89">
      <c r="B159" s="284">
        <v>18</v>
      </c>
      <c r="C159" s="289">
        <v>64.400000000000006</v>
      </c>
      <c r="D159" s="290"/>
      <c r="E159" s="8" t="s">
        <v>26</v>
      </c>
      <c r="F159" s="9">
        <v>1.24</v>
      </c>
      <c r="G159" s="14">
        <v>1.52</v>
      </c>
      <c r="H159" s="14">
        <v>1.75</v>
      </c>
      <c r="I159" s="14">
        <v>1.95</v>
      </c>
      <c r="J159" s="14">
        <v>2.11</v>
      </c>
      <c r="K159" s="14">
        <v>2.57</v>
      </c>
      <c r="L159" s="14">
        <v>2.59</v>
      </c>
      <c r="M159" s="14">
        <v>2.6</v>
      </c>
      <c r="N159" s="14">
        <v>3.15</v>
      </c>
      <c r="O159" s="14">
        <v>3.17</v>
      </c>
      <c r="P159" s="14">
        <v>3.33</v>
      </c>
      <c r="Q159" s="14">
        <v>3.84</v>
      </c>
      <c r="R159" s="15"/>
    </row>
    <row r="160" spans="2:89">
      <c r="B160" s="284">
        <v>18</v>
      </c>
      <c r="C160" s="285">
        <v>69</v>
      </c>
      <c r="D160" s="286"/>
      <c r="E160" s="8" t="s">
        <v>26</v>
      </c>
      <c r="F160" s="9">
        <v>1.07</v>
      </c>
      <c r="G160" s="14">
        <v>1.21</v>
      </c>
      <c r="H160" s="14">
        <v>1.34</v>
      </c>
      <c r="I160" s="14">
        <v>1.54</v>
      </c>
      <c r="J160" s="14">
        <v>2.1</v>
      </c>
      <c r="K160" s="14">
        <v>2.34</v>
      </c>
      <c r="L160" s="14">
        <v>2.31</v>
      </c>
      <c r="M160" s="14">
        <v>2.58</v>
      </c>
      <c r="N160" s="14">
        <v>2.81</v>
      </c>
      <c r="O160" s="14">
        <v>2.73</v>
      </c>
      <c r="P160" s="14">
        <v>3.02</v>
      </c>
      <c r="Q160" s="14">
        <v>3.7</v>
      </c>
      <c r="R160" s="3"/>
    </row>
    <row r="161" spans="2:18">
      <c r="B161" s="284">
        <v>18</v>
      </c>
      <c r="C161" s="287">
        <v>71.599999999999994</v>
      </c>
      <c r="D161" s="288"/>
      <c r="E161" s="8" t="s">
        <v>26</v>
      </c>
      <c r="F161" s="9">
        <v>1.03</v>
      </c>
      <c r="G161" s="14">
        <v>1.17</v>
      </c>
      <c r="H161" s="14">
        <v>1.29</v>
      </c>
      <c r="I161" s="14">
        <v>1.49</v>
      </c>
      <c r="J161" s="14">
        <v>1.94</v>
      </c>
      <c r="K161" s="14">
        <v>2.2599999999999998</v>
      </c>
      <c r="L161" s="14">
        <v>2.2400000000000002</v>
      </c>
      <c r="M161" s="14">
        <v>2.5099999999999998</v>
      </c>
      <c r="N161" s="14">
        <v>2.73</v>
      </c>
      <c r="O161" s="14">
        <v>2.65</v>
      </c>
      <c r="P161" s="14">
        <v>2.93</v>
      </c>
      <c r="Q161" s="9">
        <v>3.58</v>
      </c>
      <c r="R161" s="3"/>
    </row>
    <row r="162" spans="2:18">
      <c r="B162" s="283">
        <v>24</v>
      </c>
      <c r="C162" s="289">
        <v>59</v>
      </c>
      <c r="D162" s="290"/>
      <c r="E162" s="8" t="s">
        <v>26</v>
      </c>
      <c r="F162" s="9">
        <v>1.38</v>
      </c>
      <c r="G162" s="14">
        <v>1.6</v>
      </c>
      <c r="H162" s="14">
        <v>1.79</v>
      </c>
      <c r="I162" s="14">
        <v>1.88</v>
      </c>
      <c r="J162" s="14">
        <v>1.93</v>
      </c>
      <c r="K162" s="14">
        <v>2.75</v>
      </c>
      <c r="L162" s="14">
        <v>2.66</v>
      </c>
      <c r="M162" s="14">
        <v>2.81</v>
      </c>
      <c r="N162" s="14">
        <v>3.27</v>
      </c>
      <c r="O162" s="14">
        <v>3.31</v>
      </c>
      <c r="P162" s="14">
        <v>3.56</v>
      </c>
      <c r="Q162" s="14">
        <v>4.3</v>
      </c>
      <c r="R162" s="15"/>
    </row>
    <row r="163" spans="2:18">
      <c r="B163" s="283">
        <v>24</v>
      </c>
      <c r="C163" s="285">
        <v>64.400000000000006</v>
      </c>
      <c r="D163" s="286"/>
      <c r="E163" s="8" t="s">
        <v>26</v>
      </c>
      <c r="F163" s="9">
        <v>1.33</v>
      </c>
      <c r="G163" s="14">
        <v>1.55</v>
      </c>
      <c r="H163" s="14">
        <v>1.72</v>
      </c>
      <c r="I163" s="14">
        <v>1.81</v>
      </c>
      <c r="J163" s="14">
        <v>1.86</v>
      </c>
      <c r="K163" s="14">
        <v>2.65</v>
      </c>
      <c r="L163" s="14">
        <v>2.57</v>
      </c>
      <c r="M163" s="14">
        <v>2.71</v>
      </c>
      <c r="N163" s="14">
        <v>3.16</v>
      </c>
      <c r="O163" s="14">
        <v>3.15</v>
      </c>
      <c r="P163" s="14">
        <v>3.47</v>
      </c>
      <c r="Q163" s="14">
        <v>4.1900000000000004</v>
      </c>
      <c r="R163" s="3"/>
    </row>
    <row r="164" spans="2:18">
      <c r="B164" s="283">
        <v>24</v>
      </c>
      <c r="C164" s="287">
        <v>69</v>
      </c>
      <c r="D164" s="288"/>
      <c r="E164" s="8" t="s">
        <v>26</v>
      </c>
      <c r="F164" s="9">
        <v>1.29</v>
      </c>
      <c r="G164" s="14">
        <v>1.5</v>
      </c>
      <c r="H164" s="14">
        <v>1.67</v>
      </c>
      <c r="I164" s="14">
        <v>1.76</v>
      </c>
      <c r="J164" s="14">
        <v>1.81</v>
      </c>
      <c r="K164" s="14">
        <v>2.57</v>
      </c>
      <c r="L164" s="14">
        <v>2.4900000000000002</v>
      </c>
      <c r="M164" s="14">
        <v>2.63</v>
      </c>
      <c r="N164" s="14">
        <v>3.07</v>
      </c>
      <c r="O164" s="14">
        <v>3.01</v>
      </c>
      <c r="P164" s="14">
        <v>3.4</v>
      </c>
      <c r="Q164" s="14">
        <v>3.66</v>
      </c>
      <c r="R164" s="3"/>
    </row>
    <row r="165" spans="2:18">
      <c r="B165" s="283">
        <v>24</v>
      </c>
      <c r="C165" s="289">
        <v>71.599999999999994</v>
      </c>
      <c r="D165" s="290"/>
      <c r="E165" s="8" t="s">
        <v>26</v>
      </c>
      <c r="F165" s="9">
        <v>1.25</v>
      </c>
      <c r="G165" s="14">
        <v>1.46</v>
      </c>
      <c r="H165" s="14">
        <v>1.63</v>
      </c>
      <c r="I165" s="14">
        <v>1.71</v>
      </c>
      <c r="J165" s="14">
        <v>1.76</v>
      </c>
      <c r="K165" s="14">
        <v>2.5</v>
      </c>
      <c r="L165" s="14">
        <v>2.42</v>
      </c>
      <c r="M165" s="14">
        <v>2.56</v>
      </c>
      <c r="N165" s="14">
        <v>2.99</v>
      </c>
      <c r="O165" s="14">
        <v>2.92</v>
      </c>
      <c r="P165" s="14">
        <v>3.31</v>
      </c>
      <c r="Q165" s="14">
        <v>3.57</v>
      </c>
      <c r="R165" s="15"/>
    </row>
    <row r="166" spans="2:18">
      <c r="B166" s="283">
        <v>30</v>
      </c>
      <c r="C166" s="285">
        <v>59</v>
      </c>
      <c r="D166" s="286"/>
      <c r="E166" s="8" t="s">
        <v>26</v>
      </c>
      <c r="F166" s="9">
        <v>1.57</v>
      </c>
      <c r="G166" s="14">
        <v>1.86</v>
      </c>
      <c r="H166" s="14">
        <v>2.0299999999999998</v>
      </c>
      <c r="I166" s="14">
        <v>2.11</v>
      </c>
      <c r="J166" s="14">
        <v>2.23</v>
      </c>
      <c r="K166" s="14">
        <v>2.44</v>
      </c>
      <c r="L166" s="14">
        <v>2.4500000000000002</v>
      </c>
      <c r="M166" s="14">
        <v>2.52</v>
      </c>
      <c r="N166" s="14">
        <v>3.25</v>
      </c>
      <c r="O166" s="14">
        <v>3.39</v>
      </c>
      <c r="P166" s="14">
        <v>3.35</v>
      </c>
      <c r="Q166" s="14">
        <v>3.54</v>
      </c>
      <c r="R166" s="3"/>
    </row>
    <row r="167" spans="2:18">
      <c r="B167" s="283">
        <v>30</v>
      </c>
      <c r="C167" s="287">
        <v>64.400000000000006</v>
      </c>
      <c r="D167" s="288"/>
      <c r="E167" s="8" t="s">
        <v>26</v>
      </c>
      <c r="F167" s="9">
        <v>1.54</v>
      </c>
      <c r="G167" s="14">
        <v>1.82</v>
      </c>
      <c r="H167" s="14">
        <v>1.95</v>
      </c>
      <c r="I167" s="14">
        <v>2.0099999999999998</v>
      </c>
      <c r="J167" s="14">
        <v>2.12</v>
      </c>
      <c r="K167" s="14">
        <v>2.33</v>
      </c>
      <c r="L167" s="14">
        <v>2.33</v>
      </c>
      <c r="M167" s="14">
        <v>2.4</v>
      </c>
      <c r="N167" s="14">
        <v>3.18</v>
      </c>
      <c r="O167" s="14">
        <v>3.31</v>
      </c>
      <c r="P167" s="14">
        <v>3.27</v>
      </c>
      <c r="Q167" s="14">
        <v>3.46</v>
      </c>
      <c r="R167" s="3"/>
    </row>
    <row r="168" spans="2:18">
      <c r="B168" s="283">
        <v>30</v>
      </c>
      <c r="C168" s="289">
        <v>69</v>
      </c>
      <c r="D168" s="290"/>
      <c r="E168" s="8" t="s">
        <v>26</v>
      </c>
      <c r="F168" s="9">
        <v>1.36</v>
      </c>
      <c r="G168" s="14">
        <v>1.64</v>
      </c>
      <c r="H168" s="14">
        <v>1.73</v>
      </c>
      <c r="I168" s="14">
        <v>1.82</v>
      </c>
      <c r="J168" s="14">
        <v>1.98</v>
      </c>
      <c r="K168" s="14">
        <v>2.0499999999999998</v>
      </c>
      <c r="L168" s="14">
        <v>2.06</v>
      </c>
      <c r="M168" s="14">
        <v>2.25</v>
      </c>
      <c r="N168" s="14">
        <v>3.08</v>
      </c>
      <c r="O168" s="14">
        <v>3.24</v>
      </c>
      <c r="P168" s="14">
        <v>3.31</v>
      </c>
      <c r="Q168" s="14">
        <v>3.48</v>
      </c>
      <c r="R168" s="15"/>
    </row>
    <row r="169" spans="2:18">
      <c r="B169" s="283">
        <v>30</v>
      </c>
      <c r="C169" s="285">
        <v>71.599999999999994</v>
      </c>
      <c r="D169" s="286"/>
      <c r="E169" s="8" t="s">
        <v>26</v>
      </c>
      <c r="F169" s="9">
        <v>1.22</v>
      </c>
      <c r="G169" s="14">
        <v>1.53</v>
      </c>
      <c r="H169" s="14">
        <v>1.65</v>
      </c>
      <c r="I169" s="14">
        <v>1.79</v>
      </c>
      <c r="J169" s="14">
        <v>1.95</v>
      </c>
      <c r="K169" s="14">
        <v>2</v>
      </c>
      <c r="L169" s="14">
        <v>2.0099999999999998</v>
      </c>
      <c r="M169" s="14">
        <v>2.2000000000000002</v>
      </c>
      <c r="N169" s="14">
        <v>3.01</v>
      </c>
      <c r="O169" s="14">
        <v>3.16</v>
      </c>
      <c r="P169" s="14">
        <v>3.23</v>
      </c>
      <c r="Q169" s="14">
        <v>3.4</v>
      </c>
      <c r="R169" s="3"/>
    </row>
    <row r="170" spans="2:18">
      <c r="B170" s="283">
        <v>36</v>
      </c>
      <c r="C170" s="287">
        <v>59</v>
      </c>
      <c r="D170" s="288"/>
      <c r="E170" s="8" t="s">
        <v>26</v>
      </c>
      <c r="F170" s="16">
        <v>1.36</v>
      </c>
      <c r="G170" s="14">
        <v>1.6</v>
      </c>
      <c r="H170" s="14">
        <v>1.66</v>
      </c>
      <c r="I170" s="14">
        <v>1.81</v>
      </c>
      <c r="J170" s="14">
        <v>1.96</v>
      </c>
      <c r="K170" s="14">
        <v>2.15</v>
      </c>
      <c r="L170" s="14">
        <v>2.17</v>
      </c>
      <c r="M170" s="14">
        <v>2.21</v>
      </c>
      <c r="N170" s="14">
        <v>2.64</v>
      </c>
      <c r="O170" s="14">
        <v>2.7</v>
      </c>
      <c r="P170" s="14">
        <v>3.24</v>
      </c>
      <c r="Q170" s="14">
        <v>3.85</v>
      </c>
      <c r="R170" s="3"/>
    </row>
    <row r="171" spans="2:18">
      <c r="B171" s="283">
        <v>36</v>
      </c>
      <c r="C171" s="289">
        <v>64.400000000000006</v>
      </c>
      <c r="D171" s="290"/>
      <c r="E171" s="8" t="s">
        <v>26</v>
      </c>
      <c r="F171" s="16">
        <v>1.32</v>
      </c>
      <c r="G171" s="14">
        <v>1.56</v>
      </c>
      <c r="H171" s="14">
        <v>1.62</v>
      </c>
      <c r="I171" s="14">
        <v>1.76</v>
      </c>
      <c r="J171" s="14">
        <v>1.93</v>
      </c>
      <c r="K171" s="14">
        <v>2.09</v>
      </c>
      <c r="L171" s="14">
        <v>2.12</v>
      </c>
      <c r="M171" s="14">
        <v>2.15</v>
      </c>
      <c r="N171" s="14">
        <v>2.57</v>
      </c>
      <c r="O171" s="14">
        <v>2.63</v>
      </c>
      <c r="P171" s="14">
        <v>3.16</v>
      </c>
      <c r="Q171" s="14">
        <v>3.74</v>
      </c>
      <c r="R171" s="15"/>
    </row>
    <row r="172" spans="2:18">
      <c r="B172" s="283">
        <v>36</v>
      </c>
      <c r="C172" s="285">
        <v>69</v>
      </c>
      <c r="D172" s="286"/>
      <c r="E172" s="8" t="s">
        <v>26</v>
      </c>
      <c r="F172" s="16">
        <v>1.28</v>
      </c>
      <c r="G172" s="14">
        <v>1.5</v>
      </c>
      <c r="H172" s="14">
        <v>1.55</v>
      </c>
      <c r="I172" s="14">
        <v>1.68</v>
      </c>
      <c r="J172" s="14">
        <v>1.92</v>
      </c>
      <c r="K172" s="14">
        <v>1.99</v>
      </c>
      <c r="L172" s="14">
        <v>2</v>
      </c>
      <c r="M172" s="14">
        <v>2.08</v>
      </c>
      <c r="N172" s="14">
        <v>2.56</v>
      </c>
      <c r="O172" s="14">
        <v>2.62</v>
      </c>
      <c r="P172" s="14">
        <v>3.03</v>
      </c>
      <c r="Q172" s="14">
        <v>3.53</v>
      </c>
      <c r="R172" s="3"/>
    </row>
    <row r="173" spans="2:18">
      <c r="B173" s="283">
        <v>36</v>
      </c>
      <c r="C173" s="287">
        <v>71.599999999999994</v>
      </c>
      <c r="D173" s="288"/>
      <c r="E173" s="8" t="s">
        <v>26</v>
      </c>
      <c r="F173" s="16">
        <v>1.24</v>
      </c>
      <c r="G173" s="14">
        <v>1.46</v>
      </c>
      <c r="H173" s="14">
        <v>1.51</v>
      </c>
      <c r="I173" s="14">
        <v>1.64</v>
      </c>
      <c r="J173" s="14">
        <v>1.87</v>
      </c>
      <c r="K173" s="14">
        <v>1.93</v>
      </c>
      <c r="L173" s="14">
        <v>1.94</v>
      </c>
      <c r="M173" s="14">
        <v>2.02</v>
      </c>
      <c r="N173" s="14">
        <v>2.4900000000000002</v>
      </c>
      <c r="O173" s="14">
        <v>2.54</v>
      </c>
      <c r="P173" s="14">
        <v>2.94</v>
      </c>
      <c r="Q173" s="14">
        <v>3.42</v>
      </c>
      <c r="R173" s="3"/>
    </row>
    <row r="174" spans="2:18">
      <c r="B174" s="284">
        <v>48</v>
      </c>
      <c r="C174" s="289">
        <v>59</v>
      </c>
      <c r="D174" s="290"/>
      <c r="E174" s="8" t="s">
        <v>26</v>
      </c>
      <c r="F174" s="16">
        <v>1.35</v>
      </c>
      <c r="G174" s="14">
        <v>1.59</v>
      </c>
      <c r="H174" s="14">
        <v>1.66</v>
      </c>
      <c r="I174" s="14">
        <v>1.8</v>
      </c>
      <c r="J174" s="14">
        <f>J172/J173/3.412</f>
        <v>0.30091968578969475</v>
      </c>
      <c r="K174" s="14">
        <v>2.14</v>
      </c>
      <c r="L174" s="14">
        <v>2.17</v>
      </c>
      <c r="M174" s="14">
        <v>2.2000000000000002</v>
      </c>
      <c r="N174" s="14">
        <v>2.63</v>
      </c>
      <c r="O174" s="14">
        <v>2.69</v>
      </c>
      <c r="P174" s="14">
        <v>3.23</v>
      </c>
      <c r="Q174" s="14">
        <v>4.1100000000000003</v>
      </c>
      <c r="R174" s="15"/>
    </row>
    <row r="175" spans="2:18">
      <c r="B175" s="284">
        <v>48</v>
      </c>
      <c r="C175" s="285">
        <v>64.400000000000006</v>
      </c>
      <c r="D175" s="286"/>
      <c r="E175" s="8" t="s">
        <v>26</v>
      </c>
      <c r="F175" s="16">
        <v>1.31</v>
      </c>
      <c r="G175" s="14">
        <v>1.54</v>
      </c>
      <c r="H175" s="14">
        <v>1.6</v>
      </c>
      <c r="I175" s="14">
        <v>1.74</v>
      </c>
      <c r="J175" s="14">
        <v>1.94</v>
      </c>
      <c r="K175" s="14">
        <v>2.0699999999999998</v>
      </c>
      <c r="L175" s="14">
        <v>2.09</v>
      </c>
      <c r="M175" s="14">
        <v>2.12</v>
      </c>
      <c r="N175" s="14">
        <v>2.54</v>
      </c>
      <c r="O175" s="14">
        <v>2.6</v>
      </c>
      <c r="P175" s="14">
        <v>3.12</v>
      </c>
      <c r="Q175" s="14">
        <v>3.95</v>
      </c>
      <c r="R175" s="3"/>
    </row>
    <row r="176" spans="2:18">
      <c r="B176" s="284">
        <v>48</v>
      </c>
      <c r="C176" s="287">
        <v>69</v>
      </c>
      <c r="D176" s="288"/>
      <c r="E176" s="8" t="s">
        <v>26</v>
      </c>
      <c r="F176" s="16">
        <v>1.28</v>
      </c>
      <c r="G176" s="14">
        <v>1.5</v>
      </c>
      <c r="H176" s="14">
        <v>1.55</v>
      </c>
      <c r="I176" s="14">
        <v>1.69</v>
      </c>
      <c r="J176" s="14">
        <v>1.93</v>
      </c>
      <c r="K176" s="14">
        <v>1.99</v>
      </c>
      <c r="L176" s="14">
        <v>2</v>
      </c>
      <c r="M176" s="14">
        <v>2.08</v>
      </c>
      <c r="N176" s="14">
        <v>2.57</v>
      </c>
      <c r="O176" s="14">
        <v>2.84</v>
      </c>
      <c r="P176" s="14">
        <v>3.31</v>
      </c>
      <c r="Q176" s="14">
        <v>3.65</v>
      </c>
      <c r="R176" s="3"/>
    </row>
    <row r="177" spans="1:18">
      <c r="B177" s="284">
        <v>48</v>
      </c>
      <c r="C177" s="289">
        <v>71.599999999999994</v>
      </c>
      <c r="D177" s="290"/>
      <c r="E177" s="8" t="s">
        <v>26</v>
      </c>
      <c r="F177" s="16">
        <v>1.24</v>
      </c>
      <c r="G177" s="14">
        <v>1.46</v>
      </c>
      <c r="H177" s="14">
        <v>1.51</v>
      </c>
      <c r="I177" s="14">
        <v>1.64</v>
      </c>
      <c r="J177" s="14">
        <f>J175/J176/3.412</f>
        <v>0.29460180162668792</v>
      </c>
      <c r="K177" s="14">
        <v>1.93</v>
      </c>
      <c r="L177" s="14">
        <v>1.94</v>
      </c>
      <c r="M177" s="14">
        <v>2.0099999999999998</v>
      </c>
      <c r="N177" s="14">
        <v>2.48</v>
      </c>
      <c r="O177" s="14">
        <v>2.54</v>
      </c>
      <c r="P177" s="14">
        <v>3.21</v>
      </c>
      <c r="Q177" s="14">
        <v>3.54</v>
      </c>
      <c r="R177" s="15"/>
    </row>
    <row r="178" spans="1:18">
      <c r="B178" s="10" t="s">
        <v>18</v>
      </c>
      <c r="E178" s="17"/>
      <c r="F178" s="18"/>
      <c r="G178" s="18"/>
      <c r="H178" s="18"/>
      <c r="I178" s="18"/>
      <c r="J178" s="18"/>
      <c r="K178" s="18"/>
      <c r="L178" s="18"/>
      <c r="M178" s="18"/>
      <c r="N178" s="18"/>
    </row>
    <row r="179" spans="1:18">
      <c r="B179" s="10" t="s">
        <v>19</v>
      </c>
      <c r="E179" s="17"/>
      <c r="F179" s="18"/>
      <c r="G179" s="18"/>
      <c r="H179" s="18"/>
      <c r="I179" s="18"/>
      <c r="J179" s="18"/>
      <c r="K179" s="18"/>
      <c r="L179" s="18"/>
      <c r="M179" s="18"/>
      <c r="N179" s="18"/>
    </row>
    <row r="180" spans="1:18">
      <c r="B180" s="10" t="s">
        <v>20</v>
      </c>
      <c r="E180" s="17"/>
      <c r="F180" s="18"/>
      <c r="G180" s="18"/>
      <c r="H180" s="18"/>
      <c r="I180" s="18"/>
      <c r="J180" s="18"/>
      <c r="K180" s="18"/>
      <c r="L180" s="18"/>
      <c r="M180" s="18"/>
      <c r="N180" s="18"/>
    </row>
    <row r="181" spans="1:18">
      <c r="B181" s="10" t="s">
        <v>21</v>
      </c>
      <c r="E181" s="17"/>
      <c r="F181" s="18"/>
      <c r="G181" s="18"/>
      <c r="H181" s="18"/>
      <c r="I181" s="18"/>
      <c r="J181" s="18"/>
      <c r="K181" s="18"/>
      <c r="L181" s="18"/>
      <c r="M181" s="18"/>
      <c r="N181" s="18"/>
    </row>
    <row r="182" spans="1:18">
      <c r="A182" s="17"/>
      <c r="B182" s="10" t="s">
        <v>23</v>
      </c>
      <c r="E182" s="17"/>
      <c r="F182" s="18"/>
      <c r="G182" s="18"/>
      <c r="H182" s="18"/>
      <c r="I182" s="18"/>
      <c r="J182" s="18"/>
      <c r="K182" s="18"/>
      <c r="L182" s="18"/>
      <c r="M182" s="18"/>
      <c r="N182" s="18"/>
      <c r="O182" s="18"/>
    </row>
    <row r="183" spans="1:18">
      <c r="A183" s="17"/>
      <c r="B183" s="17" t="s">
        <v>27</v>
      </c>
      <c r="C183" s="17"/>
      <c r="D183" s="17"/>
      <c r="E183" s="17"/>
      <c r="F183" s="18"/>
      <c r="G183" s="18"/>
      <c r="H183" s="18"/>
      <c r="I183" s="18"/>
      <c r="J183" s="18"/>
      <c r="K183" s="18"/>
      <c r="L183" s="18"/>
      <c r="M183" s="18"/>
      <c r="N183" s="18"/>
      <c r="O183" s="18"/>
    </row>
    <row r="184" spans="1:18">
      <c r="A184" s="17"/>
      <c r="B184" s="17"/>
      <c r="C184" s="17"/>
      <c r="D184" s="17"/>
      <c r="E184" s="17"/>
      <c r="F184" s="18"/>
      <c r="G184" s="18"/>
      <c r="H184" s="18"/>
      <c r="I184" s="18"/>
      <c r="J184" s="18"/>
      <c r="K184" s="18"/>
      <c r="L184" s="18"/>
      <c r="M184" s="18"/>
      <c r="N184" s="18"/>
      <c r="O184" s="18"/>
    </row>
    <row r="185" spans="1:18">
      <c r="A185" s="17"/>
      <c r="O185" s="18"/>
    </row>
    <row r="186" spans="1:18">
      <c r="A186" s="17"/>
      <c r="O186" s="18"/>
    </row>
    <row r="187" spans="1:18">
      <c r="A187" s="17"/>
      <c r="O187" s="18"/>
    </row>
    <row r="188" spans="1:18">
      <c r="A188" s="17"/>
      <c r="O188" s="18"/>
    </row>
  </sheetData>
  <sortState ref="B118:Q177">
    <sortCondition descending="1" ref="E118:E177"/>
    <sortCondition ref="B118:B177"/>
    <sortCondition ref="C118:C177"/>
  </sortState>
  <mergeCells count="42">
    <mergeCell ref="AJ28:AJ39"/>
    <mergeCell ref="AJ101:AJ118"/>
    <mergeCell ref="AJ119:AJ136"/>
    <mergeCell ref="AJ137:AJ148"/>
    <mergeCell ref="F24:Q24"/>
    <mergeCell ref="AJ40:AJ46"/>
    <mergeCell ref="AJ48:AJ55"/>
    <mergeCell ref="AJ56:AJ73"/>
    <mergeCell ref="AJ74:AJ91"/>
    <mergeCell ref="AJ93:AJ100"/>
    <mergeCell ref="BO1:BT1"/>
    <mergeCell ref="BU1:BY1"/>
    <mergeCell ref="BZ1:CE1"/>
    <mergeCell ref="CF1:CK1"/>
    <mergeCell ref="AL2:AP2"/>
    <mergeCell ref="AR2:AV2"/>
    <mergeCell ref="AX2:BB2"/>
    <mergeCell ref="BD2:BH2"/>
    <mergeCell ref="BJ2:BN2"/>
    <mergeCell ref="BP2:BT2"/>
    <mergeCell ref="BU2:BY2"/>
    <mergeCell ref="CA2:CE2"/>
    <mergeCell ref="CG2:CK2"/>
    <mergeCell ref="AK1:AP1"/>
    <mergeCell ref="AQ1:AV1"/>
    <mergeCell ref="AW1:BB1"/>
    <mergeCell ref="BC1:BH1"/>
    <mergeCell ref="BI1:BN1"/>
    <mergeCell ref="B115:B117"/>
    <mergeCell ref="C115:E115"/>
    <mergeCell ref="G115:Q115"/>
    <mergeCell ref="C116:D117"/>
    <mergeCell ref="AD1:AI1"/>
    <mergeCell ref="Z2:AA2"/>
    <mergeCell ref="B24:B26"/>
    <mergeCell ref="C24:E24"/>
    <mergeCell ref="C25:D25"/>
    <mergeCell ref="E25:E26"/>
    <mergeCell ref="AJ4:AJ6"/>
    <mergeCell ref="AJ8:AJ13"/>
    <mergeCell ref="AJ14:AJ18"/>
    <mergeCell ref="AJ20:AJ27"/>
  </mergeCells>
  <conditionalFormatting sqref="AD2:AP148 AW2:BN148 BU2:CE148">
    <cfRule type="expression" dxfId="7" priority="7">
      <formula>AD2=""</formula>
    </cfRule>
  </conditionalFormatting>
  <conditionalFormatting sqref="AK4:AK148">
    <cfRule type="cellIs" dxfId="6" priority="8" operator="greaterThan">
      <formula>$BC4</formula>
    </cfRule>
  </conditionalFormatting>
  <conditionalFormatting sqref="BI4:BI148">
    <cfRule type="cellIs" dxfId="5" priority="6" operator="greaterThan">
      <formula>$BZ4</formula>
    </cfRule>
  </conditionalFormatting>
  <conditionalFormatting sqref="CF2:CK148">
    <cfRule type="expression" dxfId="4" priority="4">
      <formula>CF2=""</formula>
    </cfRule>
  </conditionalFormatting>
  <conditionalFormatting sqref="CF4:CF148">
    <cfRule type="cellIs" dxfId="3" priority="5" operator="greaterThan">
      <formula>$BC4</formula>
    </cfRule>
  </conditionalFormatting>
  <conditionalFormatting sqref="AC2:AC148">
    <cfRule type="expression" dxfId="2" priority="3">
      <formula>AC2=""</formula>
    </cfRule>
  </conditionalFormatting>
  <conditionalFormatting sqref="BO2:BT148">
    <cfRule type="expression" dxfId="1" priority="1">
      <formula>BO2=""</formula>
    </cfRule>
  </conditionalFormatting>
  <conditionalFormatting sqref="AQ2:AV148">
    <cfRule type="expression" dxfId="0" priority="2">
      <formula>AQ2=""</formula>
    </cfRule>
  </conditionalFormatting>
  <pageMargins left="0.25" right="0.25" top="0.25" bottom="0.25" header="0.3" footer="0.3"/>
  <pageSetup scale="18" orientation="portrait" horizontalDpi="4294967293" verticalDpi="96"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zoomScale="60" zoomScaleNormal="60" workbookViewId="0"/>
  </sheetViews>
  <sheetFormatPr defaultRowHeight="14.4"/>
  <cols>
    <col min="3" max="3" width="11.6640625" customWidth="1"/>
    <col min="6" max="6" width="22.88671875" bestFit="1" customWidth="1"/>
    <col min="8" max="8" width="34.5546875" bestFit="1" customWidth="1"/>
  </cols>
  <sheetData>
    <row r="1" spans="1:21">
      <c r="A1" t="s">
        <v>308</v>
      </c>
    </row>
    <row r="2" spans="1:21">
      <c r="B2" s="40" t="s">
        <v>75</v>
      </c>
    </row>
    <row r="3" spans="1:21">
      <c r="B3" s="535" t="s">
        <v>9</v>
      </c>
      <c r="C3" s="537" t="s">
        <v>1</v>
      </c>
      <c r="D3" s="537"/>
      <c r="E3" s="537"/>
      <c r="F3" s="38" t="s">
        <v>10</v>
      </c>
    </row>
    <row r="4" spans="1:21" ht="15" customHeight="1">
      <c r="B4" s="535"/>
      <c r="C4" s="535" t="s">
        <v>11</v>
      </c>
      <c r="D4" s="535"/>
      <c r="E4" s="536"/>
      <c r="F4" s="535" t="s">
        <v>12</v>
      </c>
    </row>
    <row r="5" spans="1:21">
      <c r="B5" s="535"/>
      <c r="C5" s="39" t="s">
        <v>13</v>
      </c>
      <c r="D5" s="39" t="s">
        <v>14</v>
      </c>
      <c r="E5" s="536"/>
      <c r="F5" s="536"/>
      <c r="H5" s="21" t="s">
        <v>98</v>
      </c>
      <c r="I5" s="21" t="s">
        <v>76</v>
      </c>
      <c r="J5" s="21" t="s">
        <v>111</v>
      </c>
    </row>
    <row r="6" spans="1:21">
      <c r="B6" s="35">
        <v>9</v>
      </c>
      <c r="C6" s="35">
        <v>69.8</v>
      </c>
      <c r="D6" s="35">
        <v>59</v>
      </c>
      <c r="E6" s="36" t="s">
        <v>15</v>
      </c>
      <c r="F6" s="37">
        <f>F10-F10*20%</f>
        <v>9.2560000000000002</v>
      </c>
      <c r="H6" s="20">
        <f ca="1">FORECAST(INDOOR_DB,OFFSET(F6:F9,MATCH(INDOOR_DB,C6:C9,1)-1,0,2),OFFSET(C6:C9,MATCH(INDOOR_DB,C6:C9,1)-1,0,2))</f>
        <v>10.463111111111111</v>
      </c>
      <c r="I6">
        <f>B6</f>
        <v>9</v>
      </c>
      <c r="J6" s="20">
        <f ca="1">IF(OR(INDOOR_DB&lt;C6,INDOOR_DB&gt;C9),H8,H6)</f>
        <v>10.463111111111111</v>
      </c>
    </row>
    <row r="7" spans="1:21">
      <c r="B7" s="35">
        <v>9</v>
      </c>
      <c r="C7" s="35">
        <v>75.2</v>
      </c>
      <c r="D7" s="35">
        <v>62.6</v>
      </c>
      <c r="E7" s="36" t="s">
        <v>15</v>
      </c>
      <c r="F7" s="37">
        <f t="shared" ref="F7:F9" si="0">F11-F11*20%</f>
        <v>9.6240000000000006</v>
      </c>
    </row>
    <row r="8" spans="1:21">
      <c r="B8" s="35">
        <v>9</v>
      </c>
      <c r="C8" s="35">
        <v>80.599999999999994</v>
      </c>
      <c r="D8" s="35">
        <v>66.2</v>
      </c>
      <c r="E8" s="36" t="s">
        <v>15</v>
      </c>
      <c r="F8" s="37">
        <f t="shared" si="0"/>
        <v>10.568000000000001</v>
      </c>
      <c r="H8" s="20">
        <f>TREND(F6:F9,C6:C9,INDOOR_DB)</f>
        <v>10.240909090909092</v>
      </c>
    </row>
    <row r="9" spans="1:21">
      <c r="B9" s="35">
        <v>9</v>
      </c>
      <c r="C9" s="35">
        <v>89.6</v>
      </c>
      <c r="D9" s="35">
        <v>73.400000000000006</v>
      </c>
      <c r="E9" s="36" t="s">
        <v>15</v>
      </c>
      <c r="F9" s="37">
        <f t="shared" si="0"/>
        <v>11.056000000000001</v>
      </c>
    </row>
    <row r="10" spans="1:21">
      <c r="B10" s="35">
        <v>12</v>
      </c>
      <c r="C10" s="35">
        <v>69.8</v>
      </c>
      <c r="D10" s="35">
        <v>59</v>
      </c>
      <c r="E10" s="36" t="s">
        <v>15</v>
      </c>
      <c r="F10" s="37">
        <v>11.57</v>
      </c>
      <c r="H10" s="20">
        <f ca="1">FORECAST(INDOOR_DB,OFFSET(F10:F13,MATCH(INDOOR_DB,C10:C13,1)-1,0,2),OFFSET(C10:C13,MATCH(INDOOR_DB,C10:C13,1)-1,0,2))</f>
        <v>13.078888888888891</v>
      </c>
      <c r="I10">
        <f t="shared" ref="I10" si="1">B10</f>
        <v>12</v>
      </c>
      <c r="J10" s="20">
        <f ca="1">IF(OR(INDOOR_DB&lt;C10,INDOOR_DB&gt;C13),H12,H10)</f>
        <v>13.078888888888891</v>
      </c>
    </row>
    <row r="11" spans="1:21">
      <c r="B11" s="35">
        <v>12</v>
      </c>
      <c r="C11" s="35">
        <v>75.2</v>
      </c>
      <c r="D11" s="35">
        <v>62.6</v>
      </c>
      <c r="E11" s="36" t="s">
        <v>15</v>
      </c>
      <c r="F11" s="37">
        <v>12.030000000000001</v>
      </c>
    </row>
    <row r="12" spans="1:21">
      <c r="B12" s="35">
        <v>12</v>
      </c>
      <c r="C12" s="35">
        <v>80.599999999999994</v>
      </c>
      <c r="D12" s="35">
        <v>66.2</v>
      </c>
      <c r="E12" s="36" t="s">
        <v>15</v>
      </c>
      <c r="F12" s="37">
        <v>13.21</v>
      </c>
      <c r="H12" s="20">
        <f>TREND(F10:F13,C10:C13,INDOOR_DB)</f>
        <v>12.801136363636365</v>
      </c>
      <c r="S12" s="145"/>
      <c r="T12" s="145"/>
      <c r="U12" s="145"/>
    </row>
    <row r="13" spans="1:21">
      <c r="B13" s="35">
        <v>12</v>
      </c>
      <c r="C13" s="35">
        <v>89.6</v>
      </c>
      <c r="D13" s="35">
        <v>73.400000000000006</v>
      </c>
      <c r="E13" s="36" t="s">
        <v>15</v>
      </c>
      <c r="F13" s="37">
        <v>13.82</v>
      </c>
      <c r="S13" s="145"/>
      <c r="T13" s="145"/>
      <c r="U13" s="145"/>
    </row>
    <row r="14" spans="1:21">
      <c r="B14" s="35">
        <v>18</v>
      </c>
      <c r="C14" s="35">
        <v>69.8</v>
      </c>
      <c r="D14" s="35">
        <v>59</v>
      </c>
      <c r="E14" s="36" t="s">
        <v>15</v>
      </c>
      <c r="F14" s="37">
        <v>17.46</v>
      </c>
      <c r="H14" s="20">
        <f ca="1">FORECAST(INDOOR_DB,OFFSET(F14:F17,MATCH(INDOOR_DB,C14:C17,1)-1,0,2),OFFSET(C14:C17,MATCH(INDOOR_DB,C14:C17,1)-1,0,2))</f>
        <v>19.821111111111112</v>
      </c>
      <c r="I14">
        <f t="shared" ref="I14" si="2">B14</f>
        <v>18</v>
      </c>
      <c r="J14" s="20">
        <f ca="1">IF(OR(INDOOR_DB&lt;C14,INDOOR_DB&gt;C17),H16,H14)</f>
        <v>19.821111111111112</v>
      </c>
      <c r="S14" s="145"/>
      <c r="T14" s="145"/>
      <c r="U14" s="145"/>
    </row>
    <row r="15" spans="1:21">
      <c r="B15" s="35">
        <v>18</v>
      </c>
      <c r="C15" s="35">
        <v>75.2</v>
      </c>
      <c r="D15" s="35">
        <v>62.6</v>
      </c>
      <c r="E15" s="36" t="s">
        <v>15</v>
      </c>
      <c r="F15" s="37">
        <v>18.71</v>
      </c>
      <c r="S15" s="145"/>
      <c r="T15" s="145"/>
      <c r="U15" s="145"/>
    </row>
    <row r="16" spans="1:21">
      <c r="B16" s="35">
        <v>18</v>
      </c>
      <c r="C16" s="35">
        <v>80.599999999999994</v>
      </c>
      <c r="D16" s="35">
        <v>66.2</v>
      </c>
      <c r="E16" s="36" t="s">
        <v>15</v>
      </c>
      <c r="F16" s="37">
        <v>19.96</v>
      </c>
      <c r="H16" s="20">
        <f>TREND(F14:F17,C14:C17,INDOOR_DB)</f>
        <v>19.239242424242427</v>
      </c>
      <c r="S16" s="145"/>
      <c r="T16" s="145"/>
      <c r="U16" s="145"/>
    </row>
    <row r="17" spans="2:21">
      <c r="B17" s="35">
        <v>18</v>
      </c>
      <c r="C17" s="35">
        <v>89.6</v>
      </c>
      <c r="D17" s="35">
        <v>73.400000000000006</v>
      </c>
      <c r="E17" s="36" t="s">
        <v>15</v>
      </c>
      <c r="F17" s="37">
        <v>20.170000000000002</v>
      </c>
      <c r="S17" s="145"/>
      <c r="T17" s="145"/>
      <c r="U17" s="145"/>
    </row>
    <row r="18" spans="2:21">
      <c r="B18" s="35">
        <v>24</v>
      </c>
      <c r="C18" s="35">
        <v>69.8</v>
      </c>
      <c r="D18" s="35">
        <v>59</v>
      </c>
      <c r="E18" s="36" t="s">
        <v>15</v>
      </c>
      <c r="F18" s="37">
        <v>25.86</v>
      </c>
      <c r="H18" s="20">
        <f ca="1">FORECAST(INDOOR_DB,OFFSET(F18:F21,MATCH(INDOOR_DB,C18:C21,1)-1,0,2),OFFSET(C18:C21,MATCH(INDOOR_DB,C18:C21,1)-1,0,2))</f>
        <v>24.452222222222218</v>
      </c>
      <c r="I18">
        <f t="shared" ref="I18" si="3">B18</f>
        <v>24</v>
      </c>
      <c r="J18" s="20">
        <f ca="1">IF(OR(INDOOR_DB&lt;C18,INDOOR_DB&gt;C21),H20,H18)</f>
        <v>24.452222222222218</v>
      </c>
    </row>
    <row r="19" spans="2:21">
      <c r="B19" s="35">
        <v>24</v>
      </c>
      <c r="C19" s="35">
        <v>75.2</v>
      </c>
      <c r="D19" s="35">
        <v>62.6</v>
      </c>
      <c r="E19" s="36" t="s">
        <v>15</v>
      </c>
      <c r="F19" s="37">
        <v>28.07</v>
      </c>
    </row>
    <row r="20" spans="2:21">
      <c r="B20" s="35">
        <v>24</v>
      </c>
      <c r="C20" s="35">
        <v>80.599999999999994</v>
      </c>
      <c r="D20" s="35">
        <v>66.2</v>
      </c>
      <c r="E20" s="36" t="s">
        <v>15</v>
      </c>
      <c r="F20" s="37">
        <v>24</v>
      </c>
      <c r="H20" s="20">
        <f>TREND(F18:F21,C18:C21,INDOOR_DB)</f>
        <v>26.051792929292933</v>
      </c>
    </row>
    <row r="21" spans="2:21">
      <c r="B21" s="35">
        <v>24</v>
      </c>
      <c r="C21" s="35">
        <v>89.6</v>
      </c>
      <c r="D21" s="35">
        <v>73.400000000000006</v>
      </c>
      <c r="E21" s="36" t="s">
        <v>15</v>
      </c>
      <c r="F21" s="37">
        <v>26.4</v>
      </c>
    </row>
    <row r="22" spans="2:21">
      <c r="B22" s="35">
        <v>9</v>
      </c>
      <c r="C22" s="35">
        <v>69.8</v>
      </c>
      <c r="D22" s="35">
        <v>59</v>
      </c>
      <c r="E22" s="36" t="s">
        <v>16</v>
      </c>
      <c r="F22" s="37">
        <f>F26-F26*20%</f>
        <v>7.8676000000000004</v>
      </c>
      <c r="H22" s="20">
        <f ca="1">FORECAST(INDOOR_DB,OFFSET(F22:F25,MATCH(INDOOR_DB,C22:C25,1)-1,0,2),OFFSET(C22:C25,MATCH(INDOOR_DB,C22:C25,1)-1,0,2))</f>
        <v>9.6189777777777756</v>
      </c>
      <c r="I22">
        <f t="shared" ref="I22" si="4">B22</f>
        <v>9</v>
      </c>
      <c r="J22" s="20">
        <f ca="1">IF(OR(INDOOR_DB&lt;C22,INDOOR_DB&gt;C25),H24,H22)</f>
        <v>9.6189777777777756</v>
      </c>
    </row>
    <row r="23" spans="2:21">
      <c r="B23" s="35">
        <v>9</v>
      </c>
      <c r="C23" s="35">
        <v>75.2</v>
      </c>
      <c r="D23" s="35">
        <v>62.6</v>
      </c>
      <c r="E23" s="36" t="s">
        <v>16</v>
      </c>
      <c r="F23" s="37">
        <f t="shared" ref="F23:F25" si="5">F27-F27*20%</f>
        <v>8.1804000000000006</v>
      </c>
    </row>
    <row r="24" spans="2:21">
      <c r="B24" s="35">
        <v>9</v>
      </c>
      <c r="C24" s="35">
        <v>80.599999999999994</v>
      </c>
      <c r="D24" s="35">
        <v>66.2</v>
      </c>
      <c r="E24" s="36" t="s">
        <v>16</v>
      </c>
      <c r="F24" s="37">
        <f t="shared" si="5"/>
        <v>9.7988</v>
      </c>
      <c r="H24" s="20">
        <f>TREND(F22:F25,C22:C25,INDOOR_DB)</f>
        <v>9.1472363636363649</v>
      </c>
    </row>
    <row r="25" spans="2:21">
      <c r="B25" s="35">
        <v>9</v>
      </c>
      <c r="C25" s="35">
        <v>89.6</v>
      </c>
      <c r="D25" s="35">
        <v>73.400000000000006</v>
      </c>
      <c r="E25" s="36" t="s">
        <v>16</v>
      </c>
      <c r="F25" s="37">
        <f t="shared" si="5"/>
        <v>10.1388</v>
      </c>
    </row>
    <row r="26" spans="2:21">
      <c r="B26" s="35">
        <v>12</v>
      </c>
      <c r="C26" s="35">
        <v>69.8</v>
      </c>
      <c r="D26" s="35">
        <v>59</v>
      </c>
      <c r="E26" s="36" t="s">
        <v>16</v>
      </c>
      <c r="F26" s="37">
        <v>9.8345000000000002</v>
      </c>
      <c r="H26" s="20">
        <f ca="1">FORECAST(INDOOR_DB,OFFSET(F26:F29,MATCH(INDOOR_DB,C26:C29,1)-1,0,2),OFFSET(C26:C29,MATCH(INDOOR_DB,C26:C29,1)-1,0,2))</f>
        <v>12.023722222222219</v>
      </c>
      <c r="I26">
        <f t="shared" ref="I26" si="6">B26</f>
        <v>12</v>
      </c>
      <c r="J26" s="20">
        <f ca="1">IF(OR(INDOOR_DB&lt;C26,INDOOR_DB&gt;C29),H28,H26)</f>
        <v>12.023722222222219</v>
      </c>
    </row>
    <row r="27" spans="2:21">
      <c r="B27" s="35">
        <v>12</v>
      </c>
      <c r="C27" s="35">
        <v>75.2</v>
      </c>
      <c r="D27" s="35">
        <v>62.6</v>
      </c>
      <c r="E27" s="36" t="s">
        <v>16</v>
      </c>
      <c r="F27" s="37">
        <v>10.2255</v>
      </c>
    </row>
    <row r="28" spans="2:21">
      <c r="B28" s="35">
        <v>12</v>
      </c>
      <c r="C28" s="35">
        <v>80.599999999999994</v>
      </c>
      <c r="D28" s="35">
        <v>66.2</v>
      </c>
      <c r="E28" s="36" t="s">
        <v>16</v>
      </c>
      <c r="F28" s="37">
        <v>12.2485</v>
      </c>
      <c r="H28" s="20">
        <f>TREND(F26:F29,C26:C29,INDOOR_DB)</f>
        <v>11.434045454545455</v>
      </c>
    </row>
    <row r="29" spans="2:21">
      <c r="B29" s="35">
        <v>12</v>
      </c>
      <c r="C29" s="35">
        <v>89.6</v>
      </c>
      <c r="D29" s="35">
        <v>73.400000000000006</v>
      </c>
      <c r="E29" s="36" t="s">
        <v>16</v>
      </c>
      <c r="F29" s="37">
        <v>12.673500000000001</v>
      </c>
    </row>
    <row r="30" spans="2:21">
      <c r="B30" s="35">
        <v>18</v>
      </c>
      <c r="C30" s="35">
        <v>69.8</v>
      </c>
      <c r="D30" s="35">
        <v>59</v>
      </c>
      <c r="E30" s="36" t="s">
        <v>16</v>
      </c>
      <c r="F30" s="37">
        <v>15.364800000000001</v>
      </c>
      <c r="H30" s="20">
        <f ca="1">FORECAST(INDOOR_DB,OFFSET(F30:F33,MATCH(INDOOR_DB,C30:C33,1)-1,0,2),OFFSET(C30:C33,MATCH(INDOOR_DB,C30:C33,1)-1,0,2))</f>
        <v>17.62</v>
      </c>
      <c r="I30">
        <f t="shared" ref="I30" si="7">B30</f>
        <v>18</v>
      </c>
      <c r="J30" s="20">
        <f ca="1">IF(OR(INDOOR_DB&lt;C30,INDOOR_DB&gt;C33),H32,H30)</f>
        <v>17.62</v>
      </c>
    </row>
    <row r="31" spans="2:21">
      <c r="B31" s="35">
        <v>18</v>
      </c>
      <c r="C31" s="35">
        <v>75.2</v>
      </c>
      <c r="D31" s="35">
        <v>62.6</v>
      </c>
      <c r="E31" s="36" t="s">
        <v>16</v>
      </c>
      <c r="F31" s="37">
        <v>16.4648</v>
      </c>
    </row>
    <row r="32" spans="2:21">
      <c r="B32" s="35">
        <v>18</v>
      </c>
      <c r="C32" s="35">
        <v>80.599999999999994</v>
      </c>
      <c r="D32" s="35">
        <v>66.2</v>
      </c>
      <c r="E32" s="36" t="s">
        <v>16</v>
      </c>
      <c r="F32" s="37">
        <v>17.764400000000002</v>
      </c>
      <c r="H32" s="20">
        <f>TREND(F30:F33,C30:C33,INDOOR_DB)</f>
        <v>17.045098737373735</v>
      </c>
    </row>
    <row r="33" spans="2:22">
      <c r="B33" s="35">
        <v>18</v>
      </c>
      <c r="C33" s="35">
        <v>89.6</v>
      </c>
      <c r="D33" s="35">
        <v>73.400000000000006</v>
      </c>
      <c r="E33" s="36" t="s">
        <v>16</v>
      </c>
      <c r="F33" s="37">
        <v>17.951300000000003</v>
      </c>
    </row>
    <row r="34" spans="2:22">
      <c r="B34" s="35">
        <v>24</v>
      </c>
      <c r="C34" s="35">
        <v>69.8</v>
      </c>
      <c r="D34" s="35">
        <v>59</v>
      </c>
      <c r="E34" s="36" t="s">
        <v>16</v>
      </c>
      <c r="F34" s="37">
        <v>19.395</v>
      </c>
      <c r="H34" s="20">
        <f ca="1">FORECAST(INDOOR_DB,OFFSET(F34:F37,MATCH(INDOOR_DB,C34:C37,1)-1,0,2),OFFSET(C34:C37,MATCH(INDOOR_DB,C34:C37,1)-1,0,2))</f>
        <v>17.732222222222219</v>
      </c>
      <c r="I34">
        <f t="shared" ref="I34" si="8">B34</f>
        <v>24</v>
      </c>
      <c r="J34" s="20">
        <f ca="1">IF(OR(INDOOR_DB&lt;C34,INDOOR_DB&gt;C37),H36,H34)</f>
        <v>17.732222222222219</v>
      </c>
    </row>
    <row r="35" spans="2:22">
      <c r="B35" s="35">
        <v>24</v>
      </c>
      <c r="C35" s="35">
        <v>75.2</v>
      </c>
      <c r="D35" s="35">
        <v>62.6</v>
      </c>
      <c r="E35" s="36" t="s">
        <v>16</v>
      </c>
      <c r="F35" s="37">
        <v>15.59</v>
      </c>
    </row>
    <row r="36" spans="2:22">
      <c r="B36" s="35">
        <v>24</v>
      </c>
      <c r="C36" s="35">
        <v>80.599999999999994</v>
      </c>
      <c r="D36" s="35">
        <v>66.2</v>
      </c>
      <c r="E36" s="36" t="s">
        <v>16</v>
      </c>
      <c r="F36" s="37">
        <v>18</v>
      </c>
      <c r="H36" s="20">
        <f>TREND(F34:F37,C34:C37,INDOOR_DB)</f>
        <v>18.283573232323231</v>
      </c>
    </row>
    <row r="37" spans="2:22">
      <c r="B37" s="35">
        <v>24</v>
      </c>
      <c r="C37" s="35">
        <v>89.6</v>
      </c>
      <c r="D37" s="35">
        <v>73.400000000000006</v>
      </c>
      <c r="E37" s="36" t="s">
        <v>16</v>
      </c>
      <c r="F37" s="37">
        <v>19.8</v>
      </c>
    </row>
    <row r="40" spans="2:22">
      <c r="B40" s="533" t="s">
        <v>9</v>
      </c>
      <c r="C40" s="534" t="s">
        <v>0</v>
      </c>
      <c r="D40" s="534"/>
      <c r="E40" s="534"/>
      <c r="F40" s="21"/>
      <c r="G40" s="264"/>
      <c r="H40" s="264"/>
      <c r="I40" s="264"/>
      <c r="J40" s="264"/>
      <c r="K40" s="264"/>
      <c r="L40" s="264"/>
      <c r="M40" s="264"/>
      <c r="N40" s="264"/>
      <c r="O40" s="264"/>
      <c r="P40" s="21"/>
      <c r="Q40" s="264"/>
      <c r="R40" s="264" t="s">
        <v>10</v>
      </c>
    </row>
    <row r="41" spans="2:22">
      <c r="B41" s="533"/>
      <c r="C41" s="533" t="s">
        <v>25</v>
      </c>
      <c r="D41" s="533"/>
      <c r="E41" s="534"/>
      <c r="F41" s="261">
        <v>-22</v>
      </c>
      <c r="G41" s="261">
        <v>-13</v>
      </c>
      <c r="H41" s="261">
        <v>-4</v>
      </c>
      <c r="I41" s="261">
        <v>0</v>
      </c>
      <c r="J41" s="261">
        <v>5</v>
      </c>
      <c r="K41" s="261">
        <v>17</v>
      </c>
      <c r="L41" s="261">
        <v>19.399999999999999</v>
      </c>
      <c r="M41" s="261">
        <v>24.8</v>
      </c>
      <c r="N41" s="261">
        <v>32</v>
      </c>
      <c r="O41" s="261">
        <v>39.200000000000003</v>
      </c>
      <c r="P41" s="265">
        <v>44.6</v>
      </c>
      <c r="Q41" s="265">
        <v>53.6</v>
      </c>
      <c r="R41" s="265">
        <v>47</v>
      </c>
    </row>
    <row r="42" spans="2:22">
      <c r="B42" s="533"/>
      <c r="C42" s="533"/>
      <c r="D42" s="533"/>
      <c r="E42" s="534"/>
      <c r="F42" s="266"/>
      <c r="G42" s="264"/>
      <c r="H42" s="264"/>
      <c r="I42" s="264"/>
      <c r="J42" s="264"/>
      <c r="K42" s="264"/>
      <c r="L42" s="264"/>
      <c r="M42" s="264"/>
      <c r="N42" s="264"/>
      <c r="O42" s="264"/>
      <c r="P42" s="264"/>
      <c r="Q42" s="264"/>
      <c r="R42" s="264"/>
      <c r="T42" s="21" t="s">
        <v>98</v>
      </c>
      <c r="U42" s="21" t="s">
        <v>76</v>
      </c>
      <c r="V42" s="21" t="s">
        <v>111</v>
      </c>
    </row>
    <row r="43" spans="2:22">
      <c r="B43" s="261">
        <v>9</v>
      </c>
      <c r="C43" s="261">
        <v>59</v>
      </c>
      <c r="D43" s="261"/>
      <c r="E43" s="262" t="s">
        <v>15</v>
      </c>
      <c r="F43" s="267">
        <v>6.01</v>
      </c>
      <c r="G43" s="2">
        <v>9.2200000000000006</v>
      </c>
      <c r="H43" s="2">
        <v>10.02</v>
      </c>
      <c r="I43" s="263">
        <v>11.2</v>
      </c>
      <c r="J43" s="263">
        <v>12.37</v>
      </c>
      <c r="K43" s="263">
        <v>15.03</v>
      </c>
      <c r="L43" s="263">
        <v>15.26</v>
      </c>
      <c r="M43" s="263">
        <v>15.52</v>
      </c>
      <c r="N43" s="263">
        <v>14.21</v>
      </c>
      <c r="O43" s="263">
        <v>15.29</v>
      </c>
      <c r="P43" s="263">
        <v>15.82</v>
      </c>
      <c r="Q43" s="263">
        <v>17.32</v>
      </c>
      <c r="R43" s="37">
        <f ca="1">R47-R47*20%</f>
        <v>12.975999999999999</v>
      </c>
      <c r="T43" s="20">
        <f ca="1">FORECAST(INDOOR_HEAT_DB,OFFSET(R43:R46,MATCH(INDOOR_HEAT_DB,C43:C46,1)-1,0,2),OFFSET(C43:C46,MATCH(INDOOR_HEAT_DB,C43:C46,1)-1,0,2))</f>
        <v>11.956020512820512</v>
      </c>
      <c r="U43">
        <f>B43</f>
        <v>9</v>
      </c>
      <c r="V43" s="20">
        <f ca="1">IF(OR(INDOOR_HEAT_DB&lt;C43,INDOOR_HEAT_DB&gt;C46),T45,T43)</f>
        <v>11.956020512820512</v>
      </c>
    </row>
    <row r="44" spans="2:22">
      <c r="B44" s="261">
        <v>9</v>
      </c>
      <c r="C44" s="261">
        <v>64.400000000000006</v>
      </c>
      <c r="D44" s="261"/>
      <c r="E44" s="262" t="s">
        <v>15</v>
      </c>
      <c r="F44" s="267">
        <v>5.41</v>
      </c>
      <c r="G44" s="2">
        <v>9.120000000000001</v>
      </c>
      <c r="H44" s="2">
        <v>9.82</v>
      </c>
      <c r="I44" s="263">
        <v>11.02</v>
      </c>
      <c r="J44" s="263">
        <v>12.19</v>
      </c>
      <c r="K44" s="263">
        <v>14.305</v>
      </c>
      <c r="L44" s="263">
        <v>14.754999999999999</v>
      </c>
      <c r="M44" s="263">
        <v>14.89</v>
      </c>
      <c r="N44" s="263">
        <v>14.11</v>
      </c>
      <c r="O44" s="263">
        <v>14.925000000000001</v>
      </c>
      <c r="P44" s="263">
        <v>15.4</v>
      </c>
      <c r="Q44" s="263">
        <v>16.445</v>
      </c>
      <c r="R44" s="37">
        <f t="shared" ref="R44:R46" ca="1" si="9">R48-R48*20%</f>
        <v>12.542933333333332</v>
      </c>
    </row>
    <row r="45" spans="2:22">
      <c r="B45" s="261">
        <v>9</v>
      </c>
      <c r="C45" s="261">
        <v>69</v>
      </c>
      <c r="D45" s="261"/>
      <c r="E45" s="262" t="s">
        <v>15</v>
      </c>
      <c r="F45" s="267">
        <v>5.31</v>
      </c>
      <c r="G45" s="2">
        <v>9.02</v>
      </c>
      <c r="H45" s="2">
        <v>9.65</v>
      </c>
      <c r="I45" s="263">
        <v>10.85</v>
      </c>
      <c r="J45" s="263">
        <v>12.01</v>
      </c>
      <c r="K45" s="263">
        <v>13.58</v>
      </c>
      <c r="L45" s="263">
        <v>14.25</v>
      </c>
      <c r="M45" s="263">
        <v>14.26</v>
      </c>
      <c r="N45" s="263">
        <v>14.01</v>
      </c>
      <c r="O45" s="263">
        <v>14.56</v>
      </c>
      <c r="P45" s="263">
        <v>14.98</v>
      </c>
      <c r="Q45" s="263">
        <v>15.57</v>
      </c>
      <c r="R45" s="37">
        <f t="shared" ca="1" si="9"/>
        <v>12.109866666666667</v>
      </c>
      <c r="T45" s="20">
        <f ca="1">TREND(R43:R46,C43:C46,INDOOR_HEAT_DB)</f>
        <v>11.943202785030463</v>
      </c>
    </row>
    <row r="46" spans="2:22">
      <c r="B46" s="261">
        <v>9</v>
      </c>
      <c r="C46" s="261">
        <v>71.599999999999994</v>
      </c>
      <c r="D46" s="261"/>
      <c r="E46" s="262" t="s">
        <v>15</v>
      </c>
      <c r="F46" s="267">
        <v>5.22</v>
      </c>
      <c r="G46" s="2">
        <v>8.8800000000000008</v>
      </c>
      <c r="H46" s="2">
        <v>9.42</v>
      </c>
      <c r="I46" s="263">
        <v>10.65</v>
      </c>
      <c r="J46" s="263">
        <v>11.51</v>
      </c>
      <c r="K46" s="263">
        <v>13.08</v>
      </c>
      <c r="L46" s="263">
        <v>13.75</v>
      </c>
      <c r="M46" s="263">
        <v>13.76</v>
      </c>
      <c r="N46" s="263">
        <v>13.51</v>
      </c>
      <c r="O46" s="263">
        <v>14.06</v>
      </c>
      <c r="P46" s="263">
        <v>14.48</v>
      </c>
      <c r="Q46" s="263">
        <v>15.07</v>
      </c>
      <c r="R46" s="37">
        <f t="shared" ca="1" si="9"/>
        <v>11.709866666666667</v>
      </c>
    </row>
    <row r="47" spans="2:22">
      <c r="B47" s="261">
        <v>12</v>
      </c>
      <c r="C47" s="261">
        <v>59</v>
      </c>
      <c r="D47" s="261"/>
      <c r="E47" s="262" t="s">
        <v>15</v>
      </c>
      <c r="F47" s="268">
        <v>6.01</v>
      </c>
      <c r="G47" s="2">
        <v>9.2200000000000006</v>
      </c>
      <c r="H47" s="2">
        <v>10.199999999999999</v>
      </c>
      <c r="I47" s="263">
        <v>11.02</v>
      </c>
      <c r="J47" s="263">
        <v>12.37</v>
      </c>
      <c r="K47" s="263">
        <v>15.03</v>
      </c>
      <c r="L47" s="263">
        <v>15.26</v>
      </c>
      <c r="M47" s="263">
        <v>15.52</v>
      </c>
      <c r="N47" s="263">
        <v>14.21</v>
      </c>
      <c r="O47" s="263">
        <v>15.29</v>
      </c>
      <c r="P47" s="263">
        <v>15.82</v>
      </c>
      <c r="Q47" s="263">
        <v>17.32</v>
      </c>
      <c r="R47" s="263">
        <f t="shared" ref="R47:R58" ca="1" si="10">FORECAST($R$41,OFFSET(F47:Q47,0,MATCH($R$41,$F$41:$Q$41,1)-1,1,2),OFFSET($F$41:$Q$41,0,MATCH($R$41,$F$41:$Q$41,1)-1,1,2))</f>
        <v>16.22</v>
      </c>
      <c r="T47" s="20">
        <f ca="1">FORECAST(INDOOR_HEAT_DB,OFFSET(R47:R50,MATCH(INDOOR_HEAT_DB,C47:C50,1)-1,0,2),OFFSET(C47:C50,MATCH(INDOOR_HEAT_DB,C47:C50,1)-1,0,2))</f>
        <v>14.945025641025641</v>
      </c>
      <c r="U47">
        <f>B47</f>
        <v>12</v>
      </c>
      <c r="V47" s="20">
        <f ca="1">IF(OR(INDOOR_HEAT_DB&lt;C47,INDOOR_HEAT_DB&gt;C50),T49,T47)</f>
        <v>14.945025641025641</v>
      </c>
    </row>
    <row r="48" spans="2:22">
      <c r="B48" s="261">
        <v>12</v>
      </c>
      <c r="C48" s="261">
        <v>64.400000000000006</v>
      </c>
      <c r="D48" s="261"/>
      <c r="E48" s="262" t="s">
        <v>15</v>
      </c>
      <c r="F48" s="268">
        <v>5.41</v>
      </c>
      <c r="G48" s="2">
        <v>9.120000000000001</v>
      </c>
      <c r="H48" s="2">
        <v>10.02</v>
      </c>
      <c r="I48" s="263">
        <v>10.98</v>
      </c>
      <c r="J48" s="263">
        <v>12.19</v>
      </c>
      <c r="K48" s="263">
        <v>14.305</v>
      </c>
      <c r="L48" s="263">
        <v>14.754999999999999</v>
      </c>
      <c r="M48" s="263">
        <v>14.89</v>
      </c>
      <c r="N48" s="263">
        <v>14.11</v>
      </c>
      <c r="O48" s="263">
        <v>14.925000000000001</v>
      </c>
      <c r="P48" s="263">
        <v>15.4</v>
      </c>
      <c r="Q48" s="263">
        <v>16.445</v>
      </c>
      <c r="R48" s="263">
        <f t="shared" ca="1" si="10"/>
        <v>15.678666666666665</v>
      </c>
    </row>
    <row r="49" spans="2:22">
      <c r="B49" s="261">
        <v>12</v>
      </c>
      <c r="C49" s="261">
        <v>69</v>
      </c>
      <c r="D49" s="261"/>
      <c r="E49" s="262" t="s">
        <v>15</v>
      </c>
      <c r="F49" s="268">
        <v>5.31</v>
      </c>
      <c r="G49" s="2">
        <v>9.02</v>
      </c>
      <c r="H49" s="2">
        <v>9.82</v>
      </c>
      <c r="I49" s="263">
        <v>11.81</v>
      </c>
      <c r="J49" s="263">
        <v>12.01</v>
      </c>
      <c r="K49" s="263">
        <v>13.58</v>
      </c>
      <c r="L49" s="263">
        <v>14.25</v>
      </c>
      <c r="M49" s="263">
        <v>14.26</v>
      </c>
      <c r="N49" s="263">
        <v>14.01</v>
      </c>
      <c r="O49" s="263">
        <v>14.56</v>
      </c>
      <c r="P49" s="263">
        <v>14.98</v>
      </c>
      <c r="Q49" s="263">
        <v>15.57</v>
      </c>
      <c r="R49" s="263">
        <f t="shared" ca="1" si="10"/>
        <v>15.137333333333334</v>
      </c>
      <c r="T49" s="20">
        <f ca="1">TREND(R47:R50,C47:C50,INDOOR_HEAT_DB)</f>
        <v>14.929003481288076</v>
      </c>
    </row>
    <row r="50" spans="2:22">
      <c r="B50" s="261">
        <v>12</v>
      </c>
      <c r="C50" s="261">
        <v>71.599999999999994</v>
      </c>
      <c r="D50" s="261"/>
      <c r="E50" s="262" t="s">
        <v>15</v>
      </c>
      <c r="F50" s="268">
        <v>5.22</v>
      </c>
      <c r="G50" s="2">
        <v>8.8800000000000008</v>
      </c>
      <c r="H50" s="2">
        <v>9.6199999999999992</v>
      </c>
      <c r="I50" s="263">
        <v>11.74</v>
      </c>
      <c r="J50" s="263">
        <v>12</v>
      </c>
      <c r="K50" s="263">
        <v>13.08</v>
      </c>
      <c r="L50" s="263">
        <v>13.75</v>
      </c>
      <c r="M50" s="263">
        <v>13.76</v>
      </c>
      <c r="N50" s="263">
        <v>13.51</v>
      </c>
      <c r="O50" s="263">
        <v>14.06</v>
      </c>
      <c r="P50" s="263">
        <v>14.48</v>
      </c>
      <c r="Q50" s="263">
        <v>15.07</v>
      </c>
      <c r="R50" s="263">
        <f t="shared" ca="1" si="10"/>
        <v>14.637333333333334</v>
      </c>
    </row>
    <row r="51" spans="2:22">
      <c r="B51" s="261">
        <v>18</v>
      </c>
      <c r="C51" s="261">
        <v>59</v>
      </c>
      <c r="D51" s="261"/>
      <c r="E51" s="262" t="s">
        <v>15</v>
      </c>
      <c r="F51" s="268">
        <v>11.99</v>
      </c>
      <c r="G51" s="2">
        <v>16.819999999999997</v>
      </c>
      <c r="H51" s="2">
        <v>17.260000000000002</v>
      </c>
      <c r="I51" s="263">
        <v>18.02</v>
      </c>
      <c r="J51" s="263">
        <v>18.819999999999997</v>
      </c>
      <c r="K51" s="263">
        <v>23.319999999999997</v>
      </c>
      <c r="L51" s="263">
        <v>23.549999999999997</v>
      </c>
      <c r="M51" s="263">
        <v>23.709999999999997</v>
      </c>
      <c r="N51" s="263">
        <v>23.909999999999997</v>
      </c>
      <c r="O51" s="263">
        <v>24.139999999999997</v>
      </c>
      <c r="P51" s="263">
        <v>24.319999999999997</v>
      </c>
      <c r="Q51" s="263">
        <v>26.879999999999995</v>
      </c>
      <c r="R51" s="263">
        <f t="shared" ca="1" si="10"/>
        <v>25.002666666666663</v>
      </c>
      <c r="T51" s="20">
        <f ca="1">FORECAST(INDOOR_HEAT_DB,OFFSET(R51:R54,MATCH(INDOOR_HEAT_DB,C51:C54,1)-1,0,2),OFFSET(C51:C54,MATCH(INDOOR_HEAT_DB,C51:C54,1)-1,0,2))</f>
        <v>24.598820512820513</v>
      </c>
      <c r="U51">
        <f>B51</f>
        <v>18</v>
      </c>
      <c r="V51" s="20">
        <f ca="1">IF(OR(INDOOR_HEAT_DB&lt;C51,INDOOR_HEAT_DB&gt;C54),T53,T51)</f>
        <v>24.598820512820513</v>
      </c>
    </row>
    <row r="52" spans="2:22">
      <c r="B52" s="264">
        <v>18</v>
      </c>
      <c r="C52" s="261">
        <v>64.400000000000006</v>
      </c>
      <c r="D52" s="261"/>
      <c r="E52" s="262" t="s">
        <v>15</v>
      </c>
      <c r="F52" s="268">
        <v>12.12</v>
      </c>
      <c r="G52" s="2">
        <v>16.669999999999998</v>
      </c>
      <c r="H52" s="2">
        <v>17.11</v>
      </c>
      <c r="I52" s="263">
        <v>17.98</v>
      </c>
      <c r="J52" s="263">
        <v>18.669999999999998</v>
      </c>
      <c r="K52" s="263">
        <v>23.169999999999998</v>
      </c>
      <c r="L52" s="263">
        <v>23.4</v>
      </c>
      <c r="M52" s="263">
        <v>23.56</v>
      </c>
      <c r="N52" s="263">
        <v>23.759999999999998</v>
      </c>
      <c r="O52" s="263">
        <v>23.99</v>
      </c>
      <c r="P52" s="263">
        <v>24.169999999999998</v>
      </c>
      <c r="Q52" s="263">
        <v>26.729999999999997</v>
      </c>
      <c r="R52" s="263">
        <f t="shared" ca="1" si="10"/>
        <v>24.852666666666664</v>
      </c>
    </row>
    <row r="53" spans="2:22">
      <c r="B53" s="264">
        <v>18</v>
      </c>
      <c r="C53" s="261">
        <v>69</v>
      </c>
      <c r="D53" s="261"/>
      <c r="E53" s="262" t="s">
        <v>15</v>
      </c>
      <c r="F53" s="268">
        <v>12.42</v>
      </c>
      <c r="G53" s="2">
        <v>16.52</v>
      </c>
      <c r="H53" s="2">
        <v>17.010000000000002</v>
      </c>
      <c r="I53" s="263">
        <v>18.010000000000002</v>
      </c>
      <c r="J53" s="263">
        <v>18.52</v>
      </c>
      <c r="K53" s="263">
        <v>23.02</v>
      </c>
      <c r="L53" s="263">
        <v>23.25</v>
      </c>
      <c r="M53" s="263">
        <v>23.41</v>
      </c>
      <c r="N53" s="263">
        <v>23.61</v>
      </c>
      <c r="O53" s="263">
        <v>23.84</v>
      </c>
      <c r="P53" s="263">
        <v>24.02</v>
      </c>
      <c r="Q53" s="263">
        <v>26.58</v>
      </c>
      <c r="R53" s="263">
        <f t="shared" ca="1" si="10"/>
        <v>24.702666666666666</v>
      </c>
      <c r="T53" s="20">
        <f ca="1">TREND(R51:R54,C51:C54,INDOOR_HEAT_DB)</f>
        <v>24.580042645778938</v>
      </c>
    </row>
    <row r="54" spans="2:22">
      <c r="B54" s="264">
        <v>18</v>
      </c>
      <c r="C54" s="261">
        <v>71.599999999999994</v>
      </c>
      <c r="D54" s="261"/>
      <c r="E54" s="262" t="s">
        <v>15</v>
      </c>
      <c r="F54" s="268">
        <v>11.19</v>
      </c>
      <c r="G54" s="2">
        <v>16.25</v>
      </c>
      <c r="H54" s="2">
        <v>16.87</v>
      </c>
      <c r="I54" s="263">
        <v>17.98</v>
      </c>
      <c r="J54" s="263">
        <v>18.25</v>
      </c>
      <c r="K54" s="263">
        <v>22.75</v>
      </c>
      <c r="L54" s="263">
        <v>22.98</v>
      </c>
      <c r="M54" s="263">
        <v>23.14</v>
      </c>
      <c r="N54" s="263">
        <v>23.34</v>
      </c>
      <c r="O54" s="263">
        <v>23.57</v>
      </c>
      <c r="P54" s="263">
        <v>23.75</v>
      </c>
      <c r="Q54" s="263">
        <v>26.31</v>
      </c>
      <c r="R54" s="263">
        <f t="shared" ca="1" si="10"/>
        <v>24.43266666666667</v>
      </c>
    </row>
    <row r="55" spans="2:22">
      <c r="B55" s="261">
        <v>24</v>
      </c>
      <c r="C55" s="261">
        <v>59</v>
      </c>
      <c r="D55" s="261"/>
      <c r="E55" s="262" t="s">
        <v>15</v>
      </c>
      <c r="F55" s="268">
        <v>15.2</v>
      </c>
      <c r="G55" s="2">
        <v>16.66</v>
      </c>
      <c r="H55" s="2">
        <v>22.54</v>
      </c>
      <c r="I55" s="263">
        <v>24.56</v>
      </c>
      <c r="J55" s="263">
        <v>25.24</v>
      </c>
      <c r="K55" s="263">
        <v>26.02</v>
      </c>
      <c r="L55" s="263">
        <v>26.85</v>
      </c>
      <c r="M55" s="263">
        <v>27.56</v>
      </c>
      <c r="N55" s="263">
        <v>27.87</v>
      </c>
      <c r="O55" s="263">
        <v>28.89</v>
      </c>
      <c r="P55" s="263">
        <v>29.79</v>
      </c>
      <c r="Q55" s="263">
        <v>31.92</v>
      </c>
      <c r="R55" s="263">
        <f t="shared" ca="1" si="10"/>
        <v>30.358000000000001</v>
      </c>
      <c r="T55" s="20">
        <f ca="1">FORECAST(INDOOR_HEAT_DB,OFFSET(R55:R58,MATCH(INDOOR_HEAT_DB,C55:C58,1)-1,0,2),OFFSET(C55:C58,MATCH(INDOOR_HEAT_DB,C55:C58,1)-1,0,2))</f>
        <v>30.290000000000003</v>
      </c>
      <c r="U55">
        <f>B55</f>
        <v>24</v>
      </c>
      <c r="V55" s="20">
        <f ca="1">IF(OR(INDOOR_HEAT_DB&lt;C55,INDOOR_HEAT_DB&gt;C58),T57,T55)</f>
        <v>30.290000000000003</v>
      </c>
    </row>
    <row r="56" spans="2:22">
      <c r="B56" s="264">
        <v>24</v>
      </c>
      <c r="C56" s="261">
        <v>64.400000000000006</v>
      </c>
      <c r="D56" s="261"/>
      <c r="E56" s="262" t="s">
        <v>15</v>
      </c>
      <c r="F56" s="268">
        <v>15.13</v>
      </c>
      <c r="G56" s="2">
        <v>16.59</v>
      </c>
      <c r="H56" s="2">
        <v>22.32</v>
      </c>
      <c r="I56" s="263">
        <v>24.32</v>
      </c>
      <c r="J56" s="263">
        <v>24.1</v>
      </c>
      <c r="K56" s="263">
        <v>25.783000000000001</v>
      </c>
      <c r="L56" s="263">
        <v>26.05</v>
      </c>
      <c r="M56" s="263">
        <v>26.59</v>
      </c>
      <c r="N56" s="263">
        <v>27.580000000000002</v>
      </c>
      <c r="O56" s="263">
        <v>28.51</v>
      </c>
      <c r="P56" s="263">
        <v>29.75</v>
      </c>
      <c r="Q56" s="263">
        <v>31.85</v>
      </c>
      <c r="R56" s="263">
        <f t="shared" ca="1" si="10"/>
        <v>30.310000000000002</v>
      </c>
    </row>
    <row r="57" spans="2:22">
      <c r="B57" s="264">
        <v>24</v>
      </c>
      <c r="C57" s="261">
        <v>69</v>
      </c>
      <c r="D57" s="261"/>
      <c r="E57" s="262" t="s">
        <v>15</v>
      </c>
      <c r="F57" s="268">
        <v>15.05</v>
      </c>
      <c r="G57" s="2">
        <v>16.52</v>
      </c>
      <c r="H57" s="2">
        <v>21.02</v>
      </c>
      <c r="I57" s="263">
        <v>24</v>
      </c>
      <c r="J57" s="263">
        <v>24.03</v>
      </c>
      <c r="K57" s="263">
        <v>25.713000000000001</v>
      </c>
      <c r="L57" s="263">
        <v>25.98</v>
      </c>
      <c r="M57" s="263">
        <v>26.52</v>
      </c>
      <c r="N57" s="263">
        <v>27.51</v>
      </c>
      <c r="O57" s="263">
        <v>28.44</v>
      </c>
      <c r="P57" s="263">
        <v>29.68</v>
      </c>
      <c r="Q57" s="263">
        <v>31.78</v>
      </c>
      <c r="R57" s="263">
        <f t="shared" ca="1" si="10"/>
        <v>30.240000000000002</v>
      </c>
      <c r="T57" s="20">
        <f ca="1">TREND(R55:R58,C55:C58,INDOOR_HEAT_DB)</f>
        <v>30.310361618798961</v>
      </c>
    </row>
    <row r="58" spans="2:22">
      <c r="B58" s="264">
        <v>24</v>
      </c>
      <c r="C58" s="261">
        <v>71.599999999999994</v>
      </c>
      <c r="D58" s="261"/>
      <c r="E58" s="262" t="s">
        <v>15</v>
      </c>
      <c r="F58" s="268">
        <v>13.46</v>
      </c>
      <c r="G58" s="2">
        <v>16.649999999999999</v>
      </c>
      <c r="H58" s="2">
        <v>20.05</v>
      </c>
      <c r="I58" s="263">
        <v>24.02</v>
      </c>
      <c r="J58" s="263">
        <v>24.16</v>
      </c>
      <c r="K58" s="263">
        <v>25.843</v>
      </c>
      <c r="L58" s="263">
        <v>26.11</v>
      </c>
      <c r="M58" s="263">
        <v>26.65</v>
      </c>
      <c r="N58" s="263">
        <v>27.64</v>
      </c>
      <c r="O58" s="263">
        <v>28.57</v>
      </c>
      <c r="P58" s="263">
        <v>29.81</v>
      </c>
      <c r="Q58" s="263">
        <v>31.91</v>
      </c>
      <c r="R58" s="263">
        <f t="shared" ca="1" si="10"/>
        <v>30.369999999999997</v>
      </c>
    </row>
  </sheetData>
  <mergeCells count="9">
    <mergeCell ref="B40:B42"/>
    <mergeCell ref="C40:E40"/>
    <mergeCell ref="C41:D42"/>
    <mergeCell ref="E41:E42"/>
    <mergeCell ref="F4:F5"/>
    <mergeCell ref="B3:B5"/>
    <mergeCell ref="C3:E3"/>
    <mergeCell ref="C4:D4"/>
    <mergeCell ref="E4:E5"/>
  </mergeCells>
  <pageMargins left="0.25" right="0.25" top="0.25" bottom="0.25" header="0.3" footer="0.3"/>
  <pageSetup scale="36"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18</vt:i4>
      </vt:variant>
    </vt:vector>
  </HeadingPairs>
  <TitlesOfParts>
    <vt:vector size="29" baseType="lpstr">
      <vt:lpstr>Multizone Sizing Tool</vt:lpstr>
      <vt:lpstr>Multi-zone Combinations</vt:lpstr>
      <vt:lpstr>Revision</vt:lpstr>
      <vt:lpstr>Calculations</vt:lpstr>
      <vt:lpstr>Defrost Correction</vt:lpstr>
      <vt:lpstr>Non-Ducted</vt:lpstr>
      <vt:lpstr>Mixed Ducted and Non-Ducted</vt:lpstr>
      <vt:lpstr>Ducted</vt:lpstr>
      <vt:lpstr>Cap based on indoor unit SZ</vt:lpstr>
      <vt:lpstr>Altitude Correction</vt:lpstr>
      <vt:lpstr>Piping Correction</vt:lpstr>
      <vt:lpstr>Cool_Design_T</vt:lpstr>
      <vt:lpstr>Heat_Design_T</vt:lpstr>
      <vt:lpstr>INDOOR_1</vt:lpstr>
      <vt:lpstr>INDOOR_2</vt:lpstr>
      <vt:lpstr>INDOOR_3</vt:lpstr>
      <vt:lpstr>INDOOR_4</vt:lpstr>
      <vt:lpstr>INDOOR_5</vt:lpstr>
      <vt:lpstr>INDOOR_DB</vt:lpstr>
      <vt:lpstr>INDOOR_HEAT_DB</vt:lpstr>
      <vt:lpstr>IndoorStart</vt:lpstr>
      <vt:lpstr>IndoorType</vt:lpstr>
      <vt:lpstr>IndoorTypeList</vt:lpstr>
      <vt:lpstr>KnownX</vt:lpstr>
      <vt:lpstr>KnownY</vt:lpstr>
      <vt:lpstr>ModelNumber</vt:lpstr>
      <vt:lpstr>Outdoor_Unit_Size</vt:lpstr>
      <vt:lpstr>Calculations!Print_Area</vt:lpstr>
      <vt:lpstr>'Multizone Sizing Tool'!Print_Area</vt:lpstr>
    </vt:vector>
  </TitlesOfParts>
  <Company>United Technologies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diego.salazar@carrier.com</dc:creator>
  <cp:lastModifiedBy>Kev Hayes</cp:lastModifiedBy>
  <cp:lastPrinted>2020-06-16T00:36:06Z</cp:lastPrinted>
  <dcterms:created xsi:type="dcterms:W3CDTF">2020-04-07T16:58:42Z</dcterms:created>
  <dcterms:modified xsi:type="dcterms:W3CDTF">2020-07-28T19:53:17Z</dcterms:modified>
</cp:coreProperties>
</file>